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xl/activeX/activeX40.xml" ContentType="application/vnd.ms-office.activeX+xml"/>
  <Override PartName="/xl/activeX/activeX40.bin" ContentType="application/vnd.ms-office.activeX"/>
  <Override PartName="/xl/activeX/activeX41.xml" ContentType="application/vnd.ms-office.activeX+xml"/>
  <Override PartName="/xl/activeX/activeX41.bin" ContentType="application/vnd.ms-office.activeX"/>
  <Override PartName="/xl/activeX/activeX42.xml" ContentType="application/vnd.ms-office.activeX+xml"/>
  <Override PartName="/xl/activeX/activeX42.bin" ContentType="application/vnd.ms-office.activeX"/>
  <Override PartName="/xl/activeX/activeX43.xml" ContentType="application/vnd.ms-office.activeX+xml"/>
  <Override PartName="/xl/activeX/activeX43.bin" ContentType="application/vnd.ms-office.activeX"/>
  <Override PartName="/xl/activeX/activeX44.xml" ContentType="application/vnd.ms-office.activeX+xml"/>
  <Override PartName="/xl/activeX/activeX44.bin" ContentType="application/vnd.ms-office.activeX"/>
  <Override PartName="/xl/activeX/activeX45.xml" ContentType="application/vnd.ms-office.activeX+xml"/>
  <Override PartName="/xl/activeX/activeX45.bin" ContentType="application/vnd.ms-office.activeX"/>
  <Override PartName="/xl/activeX/activeX46.xml" ContentType="application/vnd.ms-office.activeX+xml"/>
  <Override PartName="/xl/activeX/activeX46.bin" ContentType="application/vnd.ms-office.activeX"/>
  <Override PartName="/xl/activeX/activeX47.xml" ContentType="application/vnd.ms-office.activeX+xml"/>
  <Override PartName="/xl/activeX/activeX47.bin" ContentType="application/vnd.ms-office.activeX"/>
  <Override PartName="/xl/activeX/activeX48.xml" ContentType="application/vnd.ms-office.activeX+xml"/>
  <Override PartName="/xl/activeX/activeX48.bin" ContentType="application/vnd.ms-office.activeX"/>
  <Override PartName="/xl/activeX/activeX49.xml" ContentType="application/vnd.ms-office.activeX+xml"/>
  <Override PartName="/xl/activeX/activeX49.bin" ContentType="application/vnd.ms-office.activeX"/>
  <Override PartName="/xl/activeX/activeX50.xml" ContentType="application/vnd.ms-office.activeX+xml"/>
  <Override PartName="/xl/activeX/activeX50.bin" ContentType="application/vnd.ms-office.activeX"/>
  <Override PartName="/xl/activeX/activeX51.xml" ContentType="application/vnd.ms-office.activeX+xml"/>
  <Override PartName="/xl/activeX/activeX51.bin" ContentType="application/vnd.ms-office.activeX"/>
  <Override PartName="/xl/activeX/activeX52.xml" ContentType="application/vnd.ms-office.activeX+xml"/>
  <Override PartName="/xl/activeX/activeX52.bin" ContentType="application/vnd.ms-office.activeX"/>
  <Override PartName="/xl/activeX/activeX53.xml" ContentType="application/vnd.ms-office.activeX+xml"/>
  <Override PartName="/xl/activeX/activeX53.bin" ContentType="application/vnd.ms-office.activeX"/>
  <Override PartName="/xl/activeX/activeX54.xml" ContentType="application/vnd.ms-office.activeX+xml"/>
  <Override PartName="/xl/activeX/activeX54.bin" ContentType="application/vnd.ms-office.activeX"/>
  <Override PartName="/xl/activeX/activeX55.xml" ContentType="application/vnd.ms-office.activeX+xml"/>
  <Override PartName="/xl/activeX/activeX55.bin" ContentType="application/vnd.ms-office.activeX"/>
  <Override PartName="/xl/activeX/activeX56.xml" ContentType="application/vnd.ms-office.activeX+xml"/>
  <Override PartName="/xl/activeX/activeX56.bin" ContentType="application/vnd.ms-office.activeX"/>
  <Override PartName="/xl/activeX/activeX57.xml" ContentType="application/vnd.ms-office.activeX+xml"/>
  <Override PartName="/xl/activeX/activeX57.bin" ContentType="application/vnd.ms-office.activeX"/>
  <Override PartName="/xl/activeX/activeX58.xml" ContentType="application/vnd.ms-office.activeX+xml"/>
  <Override PartName="/xl/activeX/activeX58.bin" ContentType="application/vnd.ms-office.activeX"/>
  <Override PartName="/xl/activeX/activeX59.xml" ContentType="application/vnd.ms-office.activeX+xml"/>
  <Override PartName="/xl/activeX/activeX59.bin" ContentType="application/vnd.ms-office.activeX"/>
  <Override PartName="/xl/activeX/activeX60.xml" ContentType="application/vnd.ms-office.activeX+xml"/>
  <Override PartName="/xl/activeX/activeX60.bin" ContentType="application/vnd.ms-office.activeX"/>
  <Override PartName="/xl/activeX/activeX61.xml" ContentType="application/vnd.ms-office.activeX+xml"/>
  <Override PartName="/xl/activeX/activeX61.bin" ContentType="application/vnd.ms-office.activeX"/>
  <Override PartName="/xl/activeX/activeX62.xml" ContentType="application/vnd.ms-office.activeX+xml"/>
  <Override PartName="/xl/activeX/activeX62.bin" ContentType="application/vnd.ms-office.activeX"/>
  <Override PartName="/xl/activeX/activeX63.xml" ContentType="application/vnd.ms-office.activeX+xml"/>
  <Override PartName="/xl/activeX/activeX63.bin" ContentType="application/vnd.ms-office.activeX"/>
  <Override PartName="/xl/activeX/activeX64.xml" ContentType="application/vnd.ms-office.activeX+xml"/>
  <Override PartName="/xl/activeX/activeX64.bin" ContentType="application/vnd.ms-office.activeX"/>
  <Override PartName="/xl/activeX/activeX65.xml" ContentType="application/vnd.ms-office.activeX+xml"/>
  <Override PartName="/xl/activeX/activeX65.bin" ContentType="application/vnd.ms-office.activeX"/>
  <Override PartName="/xl/activeX/activeX66.xml" ContentType="application/vnd.ms-office.activeX+xml"/>
  <Override PartName="/xl/activeX/activeX66.bin" ContentType="application/vnd.ms-office.activeX"/>
  <Override PartName="/xl/activeX/activeX67.xml" ContentType="application/vnd.ms-office.activeX+xml"/>
  <Override PartName="/xl/activeX/activeX67.bin" ContentType="application/vnd.ms-office.activeX"/>
  <Override PartName="/xl/activeX/activeX68.xml" ContentType="application/vnd.ms-office.activeX+xml"/>
  <Override PartName="/xl/activeX/activeX68.bin" ContentType="application/vnd.ms-office.activeX"/>
  <Override PartName="/xl/activeX/activeX69.xml" ContentType="application/vnd.ms-office.activeX+xml"/>
  <Override PartName="/xl/activeX/activeX69.bin" ContentType="application/vnd.ms-office.activeX"/>
  <Override PartName="/xl/activeX/activeX70.xml" ContentType="application/vnd.ms-office.activeX+xml"/>
  <Override PartName="/xl/activeX/activeX70.bin" ContentType="application/vnd.ms-office.activeX"/>
  <Override PartName="/xl/activeX/activeX71.xml" ContentType="application/vnd.ms-office.activeX+xml"/>
  <Override PartName="/xl/activeX/activeX71.bin" ContentType="application/vnd.ms-office.activeX"/>
  <Override PartName="/xl/activeX/activeX72.xml" ContentType="application/vnd.ms-office.activeX+xml"/>
  <Override PartName="/xl/activeX/activeX72.bin" ContentType="application/vnd.ms-office.activeX"/>
  <Override PartName="/xl/activeX/activeX73.xml" ContentType="application/vnd.ms-office.activeX+xml"/>
  <Override PartName="/xl/activeX/activeX73.bin" ContentType="application/vnd.ms-office.activeX"/>
  <Override PartName="/xl/activeX/activeX74.xml" ContentType="application/vnd.ms-office.activeX+xml"/>
  <Override PartName="/xl/activeX/activeX74.bin" ContentType="application/vnd.ms-office.activeX"/>
  <Override PartName="/xl/activeX/activeX75.xml" ContentType="application/vnd.ms-office.activeX+xml"/>
  <Override PartName="/xl/activeX/activeX75.bin" ContentType="application/vnd.ms-office.activeX"/>
  <Override PartName="/xl/activeX/activeX76.xml" ContentType="application/vnd.ms-office.activeX+xml"/>
  <Override PartName="/xl/activeX/activeX76.bin" ContentType="application/vnd.ms-office.activeX"/>
  <Override PartName="/xl/activeX/activeX77.xml" ContentType="application/vnd.ms-office.activeX+xml"/>
  <Override PartName="/xl/activeX/activeX77.bin" ContentType="application/vnd.ms-office.activeX"/>
  <Override PartName="/xl/activeX/activeX78.xml" ContentType="application/vnd.ms-office.activeX+xml"/>
  <Override PartName="/xl/activeX/activeX78.bin" ContentType="application/vnd.ms-office.activeX"/>
  <Override PartName="/xl/activeX/activeX79.xml" ContentType="application/vnd.ms-office.activeX+xml"/>
  <Override PartName="/xl/activeX/activeX79.bin" ContentType="application/vnd.ms-office.activeX"/>
  <Override PartName="/xl/activeX/activeX80.xml" ContentType="application/vnd.ms-office.activeX+xml"/>
  <Override PartName="/xl/activeX/activeX80.bin" ContentType="application/vnd.ms-office.activeX"/>
  <Override PartName="/xl/activeX/activeX81.xml" ContentType="application/vnd.ms-office.activeX+xml"/>
  <Override PartName="/xl/activeX/activeX81.bin" ContentType="application/vnd.ms-office.activeX"/>
  <Override PartName="/xl/activeX/activeX82.xml" ContentType="application/vnd.ms-office.activeX+xml"/>
  <Override PartName="/xl/activeX/activeX82.bin" ContentType="application/vnd.ms-office.activeX"/>
  <Override PartName="/xl/activeX/activeX83.xml" ContentType="application/vnd.ms-office.activeX+xml"/>
  <Override PartName="/xl/activeX/activeX83.bin" ContentType="application/vnd.ms-office.activeX"/>
  <Override PartName="/xl/activeX/activeX84.xml" ContentType="application/vnd.ms-office.activeX+xml"/>
  <Override PartName="/xl/activeX/activeX84.bin" ContentType="application/vnd.ms-office.activeX"/>
  <Override PartName="/xl/activeX/activeX85.xml" ContentType="application/vnd.ms-office.activeX+xml"/>
  <Override PartName="/xl/activeX/activeX85.bin" ContentType="application/vnd.ms-office.activeX"/>
  <Override PartName="/xl/activeX/activeX86.xml" ContentType="application/vnd.ms-office.activeX+xml"/>
  <Override PartName="/xl/activeX/activeX86.bin" ContentType="application/vnd.ms-office.activeX"/>
  <Override PartName="/xl/activeX/activeX87.xml" ContentType="application/vnd.ms-office.activeX+xml"/>
  <Override PartName="/xl/activeX/activeX87.bin" ContentType="application/vnd.ms-office.activeX"/>
  <Override PartName="/xl/activeX/activeX88.xml" ContentType="application/vnd.ms-office.activeX+xml"/>
  <Override PartName="/xl/activeX/activeX88.bin" ContentType="application/vnd.ms-office.activeX"/>
  <Override PartName="/xl/activeX/activeX89.xml" ContentType="application/vnd.ms-office.activeX+xml"/>
  <Override PartName="/xl/activeX/activeX89.bin" ContentType="application/vnd.ms-office.activeX"/>
  <Override PartName="/xl/activeX/activeX90.xml" ContentType="application/vnd.ms-office.activeX+xml"/>
  <Override PartName="/xl/activeX/activeX90.bin" ContentType="application/vnd.ms-office.activeX"/>
  <Override PartName="/xl/activeX/activeX91.xml" ContentType="application/vnd.ms-office.activeX+xml"/>
  <Override PartName="/xl/activeX/activeX91.bin" ContentType="application/vnd.ms-office.activeX"/>
  <Override PartName="/xl/activeX/activeX92.xml" ContentType="application/vnd.ms-office.activeX+xml"/>
  <Override PartName="/xl/activeX/activeX92.bin" ContentType="application/vnd.ms-office.activeX"/>
  <Override PartName="/xl/activeX/activeX93.xml" ContentType="application/vnd.ms-office.activeX+xml"/>
  <Override PartName="/xl/activeX/activeX93.bin" ContentType="application/vnd.ms-office.activeX"/>
  <Override PartName="/xl/activeX/activeX94.xml" ContentType="application/vnd.ms-office.activeX+xml"/>
  <Override PartName="/xl/activeX/activeX94.bin" ContentType="application/vnd.ms-office.activeX"/>
  <Override PartName="/xl/activeX/activeX95.xml" ContentType="application/vnd.ms-office.activeX+xml"/>
  <Override PartName="/xl/activeX/activeX95.bin" ContentType="application/vnd.ms-office.activeX"/>
  <Override PartName="/xl/activeX/activeX96.xml" ContentType="application/vnd.ms-office.activeX+xml"/>
  <Override PartName="/xl/activeX/activeX96.bin" ContentType="application/vnd.ms-office.activeX"/>
  <Override PartName="/xl/activeX/activeX97.xml" ContentType="application/vnd.ms-office.activeX+xml"/>
  <Override PartName="/xl/activeX/activeX97.bin" ContentType="application/vnd.ms-office.activeX"/>
  <Override PartName="/xl/activeX/activeX98.xml" ContentType="application/vnd.ms-office.activeX+xml"/>
  <Override PartName="/xl/activeX/activeX98.bin" ContentType="application/vnd.ms-office.activeX"/>
  <Override PartName="/xl/activeX/activeX99.xml" ContentType="application/vnd.ms-office.activeX+xml"/>
  <Override PartName="/xl/activeX/activeX99.bin" ContentType="application/vnd.ms-office.activeX"/>
  <Override PartName="/xl/activeX/activeX100.xml" ContentType="application/vnd.ms-office.activeX+xml"/>
  <Override PartName="/xl/activeX/activeX100.bin" ContentType="application/vnd.ms-office.activeX"/>
  <Override PartName="/xl/activeX/activeX101.xml" ContentType="application/vnd.ms-office.activeX+xml"/>
  <Override PartName="/xl/activeX/activeX101.bin" ContentType="application/vnd.ms-office.activeX"/>
  <Override PartName="/xl/activeX/activeX102.xml" ContentType="application/vnd.ms-office.activeX+xml"/>
  <Override PartName="/xl/activeX/activeX102.bin" ContentType="application/vnd.ms-office.activeX"/>
  <Override PartName="/xl/activeX/activeX103.xml" ContentType="application/vnd.ms-office.activeX+xml"/>
  <Override PartName="/xl/activeX/activeX103.bin" ContentType="application/vnd.ms-office.activeX"/>
  <Override PartName="/xl/activeX/activeX104.xml" ContentType="application/vnd.ms-office.activeX+xml"/>
  <Override PartName="/xl/activeX/activeX104.bin" ContentType="application/vnd.ms-office.activeX"/>
  <Override PartName="/xl/activeX/activeX105.xml" ContentType="application/vnd.ms-office.activeX+xml"/>
  <Override PartName="/xl/activeX/activeX105.bin" ContentType="application/vnd.ms-office.activeX"/>
  <Override PartName="/xl/activeX/activeX106.xml" ContentType="application/vnd.ms-office.activeX+xml"/>
  <Override PartName="/xl/activeX/activeX106.bin" ContentType="application/vnd.ms-office.activeX"/>
  <Override PartName="/xl/activeX/activeX107.xml" ContentType="application/vnd.ms-office.activeX+xml"/>
  <Override PartName="/xl/activeX/activeX107.bin" ContentType="application/vnd.ms-office.activeX"/>
  <Override PartName="/xl/activeX/activeX108.xml" ContentType="application/vnd.ms-office.activeX+xml"/>
  <Override PartName="/xl/activeX/activeX108.bin" ContentType="application/vnd.ms-office.activeX"/>
  <Override PartName="/xl/activeX/activeX109.xml" ContentType="application/vnd.ms-office.activeX+xml"/>
  <Override PartName="/xl/activeX/activeX109.bin" ContentType="application/vnd.ms-office.activeX"/>
  <Override PartName="/xl/activeX/activeX110.xml" ContentType="application/vnd.ms-office.activeX+xml"/>
  <Override PartName="/xl/activeX/activeX110.bin" ContentType="application/vnd.ms-office.activeX"/>
  <Override PartName="/xl/activeX/activeX111.xml" ContentType="application/vnd.ms-office.activeX+xml"/>
  <Override PartName="/xl/activeX/activeX111.bin" ContentType="application/vnd.ms-office.activeX"/>
  <Override PartName="/xl/activeX/activeX112.xml" ContentType="application/vnd.ms-office.activeX+xml"/>
  <Override PartName="/xl/activeX/activeX112.bin" ContentType="application/vnd.ms-office.activeX"/>
  <Override PartName="/xl/activeX/activeX113.xml" ContentType="application/vnd.ms-office.activeX+xml"/>
  <Override PartName="/xl/activeX/activeX113.bin" ContentType="application/vnd.ms-office.activeX"/>
  <Override PartName="/xl/activeX/activeX114.xml" ContentType="application/vnd.ms-office.activeX+xml"/>
  <Override PartName="/xl/activeX/activeX114.bin" ContentType="application/vnd.ms-office.activeX"/>
  <Override PartName="/xl/activeX/activeX115.xml" ContentType="application/vnd.ms-office.activeX+xml"/>
  <Override PartName="/xl/activeX/activeX115.bin" ContentType="application/vnd.ms-office.activeX"/>
  <Override PartName="/xl/activeX/activeX116.xml" ContentType="application/vnd.ms-office.activeX+xml"/>
  <Override PartName="/xl/activeX/activeX116.bin" ContentType="application/vnd.ms-office.activeX"/>
  <Override PartName="/xl/activeX/activeX117.xml" ContentType="application/vnd.ms-office.activeX+xml"/>
  <Override PartName="/xl/activeX/activeX117.bin" ContentType="application/vnd.ms-office.activeX"/>
  <Override PartName="/xl/activeX/activeX118.xml" ContentType="application/vnd.ms-office.activeX+xml"/>
  <Override PartName="/xl/activeX/activeX118.bin" ContentType="application/vnd.ms-office.activeX"/>
  <Override PartName="/xl/activeX/activeX119.xml" ContentType="application/vnd.ms-office.activeX+xml"/>
  <Override PartName="/xl/activeX/activeX119.bin" ContentType="application/vnd.ms-office.activeX"/>
  <Override PartName="/xl/activeX/activeX120.xml" ContentType="application/vnd.ms-office.activeX+xml"/>
  <Override PartName="/xl/activeX/activeX120.bin" ContentType="application/vnd.ms-office.activeX"/>
  <Override PartName="/xl/activeX/activeX121.xml" ContentType="application/vnd.ms-office.activeX+xml"/>
  <Override PartName="/xl/activeX/activeX121.bin" ContentType="application/vnd.ms-office.activeX"/>
  <Override PartName="/xl/activeX/activeX122.xml" ContentType="application/vnd.ms-office.activeX+xml"/>
  <Override PartName="/xl/activeX/activeX122.bin" ContentType="application/vnd.ms-office.activeX"/>
  <Override PartName="/xl/activeX/activeX123.xml" ContentType="application/vnd.ms-office.activeX+xml"/>
  <Override PartName="/xl/activeX/activeX123.bin" ContentType="application/vnd.ms-office.activeX"/>
  <Override PartName="/xl/activeX/activeX124.xml" ContentType="application/vnd.ms-office.activeX+xml"/>
  <Override PartName="/xl/activeX/activeX124.bin" ContentType="application/vnd.ms-office.activeX"/>
  <Override PartName="/xl/activeX/activeX125.xml" ContentType="application/vnd.ms-office.activeX+xml"/>
  <Override PartName="/xl/activeX/activeX125.bin" ContentType="application/vnd.ms-office.activeX"/>
  <Override PartName="/xl/activeX/activeX126.xml" ContentType="application/vnd.ms-office.activeX+xml"/>
  <Override PartName="/xl/activeX/activeX126.bin" ContentType="application/vnd.ms-office.activeX"/>
  <Override PartName="/xl/activeX/activeX127.xml" ContentType="application/vnd.ms-office.activeX+xml"/>
  <Override PartName="/xl/activeX/activeX127.bin" ContentType="application/vnd.ms-office.activeX"/>
  <Override PartName="/xl/activeX/activeX128.xml" ContentType="application/vnd.ms-office.activeX+xml"/>
  <Override PartName="/xl/activeX/activeX128.bin" ContentType="application/vnd.ms-office.activeX"/>
  <Override PartName="/xl/activeX/activeX129.xml" ContentType="application/vnd.ms-office.activeX+xml"/>
  <Override PartName="/xl/activeX/activeX129.bin" ContentType="application/vnd.ms-office.activeX"/>
  <Override PartName="/xl/activeX/activeX130.xml" ContentType="application/vnd.ms-office.activeX+xml"/>
  <Override PartName="/xl/activeX/activeX130.bin" ContentType="application/vnd.ms-office.activeX"/>
  <Override PartName="/xl/activeX/activeX131.xml" ContentType="application/vnd.ms-office.activeX+xml"/>
  <Override PartName="/xl/activeX/activeX131.bin" ContentType="application/vnd.ms-office.activeX"/>
  <Override PartName="/xl/activeX/activeX132.xml" ContentType="application/vnd.ms-office.activeX+xml"/>
  <Override PartName="/xl/activeX/activeX132.bin" ContentType="application/vnd.ms-office.activeX"/>
  <Override PartName="/xl/activeX/activeX133.xml" ContentType="application/vnd.ms-office.activeX+xml"/>
  <Override PartName="/xl/activeX/activeX133.bin" ContentType="application/vnd.ms-office.activeX"/>
  <Override PartName="/xl/activeX/activeX134.xml" ContentType="application/vnd.ms-office.activeX+xml"/>
  <Override PartName="/xl/activeX/activeX134.bin" ContentType="application/vnd.ms-office.activeX"/>
  <Override PartName="/xl/activeX/activeX135.xml" ContentType="application/vnd.ms-office.activeX+xml"/>
  <Override PartName="/xl/activeX/activeX135.bin" ContentType="application/vnd.ms-office.activeX"/>
  <Override PartName="/xl/activeX/activeX136.xml" ContentType="application/vnd.ms-office.activeX+xml"/>
  <Override PartName="/xl/activeX/activeX136.bin" ContentType="application/vnd.ms-office.activeX"/>
  <Override PartName="/xl/activeX/activeX137.xml" ContentType="application/vnd.ms-office.activeX+xml"/>
  <Override PartName="/xl/activeX/activeX137.bin" ContentType="application/vnd.ms-office.activeX"/>
  <Override PartName="/xl/activeX/activeX138.xml" ContentType="application/vnd.ms-office.activeX+xml"/>
  <Override PartName="/xl/activeX/activeX138.bin" ContentType="application/vnd.ms-office.activeX"/>
  <Override PartName="/xl/activeX/activeX139.xml" ContentType="application/vnd.ms-office.activeX+xml"/>
  <Override PartName="/xl/activeX/activeX139.bin" ContentType="application/vnd.ms-office.activeX"/>
  <Override PartName="/xl/activeX/activeX140.xml" ContentType="application/vnd.ms-office.activeX+xml"/>
  <Override PartName="/xl/activeX/activeX140.bin" ContentType="application/vnd.ms-office.activeX"/>
  <Override PartName="/xl/activeX/activeX141.xml" ContentType="application/vnd.ms-office.activeX+xml"/>
  <Override PartName="/xl/activeX/activeX141.bin" ContentType="application/vnd.ms-office.activeX"/>
  <Override PartName="/xl/activeX/activeX142.xml" ContentType="application/vnd.ms-office.activeX+xml"/>
  <Override PartName="/xl/activeX/activeX142.bin" ContentType="application/vnd.ms-office.activeX"/>
  <Override PartName="/xl/activeX/activeX143.xml" ContentType="application/vnd.ms-office.activeX+xml"/>
  <Override PartName="/xl/activeX/activeX143.bin" ContentType="application/vnd.ms-office.activeX"/>
  <Override PartName="/xl/activeX/activeX144.xml" ContentType="application/vnd.ms-office.activeX+xml"/>
  <Override PartName="/xl/activeX/activeX144.bin" ContentType="application/vnd.ms-office.activeX"/>
  <Override PartName="/xl/activeX/activeX145.xml" ContentType="application/vnd.ms-office.activeX+xml"/>
  <Override PartName="/xl/activeX/activeX145.bin" ContentType="application/vnd.ms-office.activeX"/>
  <Override PartName="/xl/activeX/activeX146.xml" ContentType="application/vnd.ms-office.activeX+xml"/>
  <Override PartName="/xl/activeX/activeX146.bin" ContentType="application/vnd.ms-office.activeX"/>
  <Override PartName="/xl/activeX/activeX147.xml" ContentType="application/vnd.ms-office.activeX+xml"/>
  <Override PartName="/xl/activeX/activeX147.bin" ContentType="application/vnd.ms-office.activeX"/>
  <Override PartName="/xl/activeX/activeX148.xml" ContentType="application/vnd.ms-office.activeX+xml"/>
  <Override PartName="/xl/activeX/activeX148.bin" ContentType="application/vnd.ms-office.activeX"/>
  <Override PartName="/xl/activeX/activeX149.xml" ContentType="application/vnd.ms-office.activeX+xml"/>
  <Override PartName="/xl/activeX/activeX149.bin" ContentType="application/vnd.ms-office.activeX"/>
  <Override PartName="/xl/activeX/activeX150.xml" ContentType="application/vnd.ms-office.activeX+xml"/>
  <Override PartName="/xl/activeX/activeX150.bin" ContentType="application/vnd.ms-office.activeX"/>
  <Override PartName="/xl/activeX/activeX151.xml" ContentType="application/vnd.ms-office.activeX+xml"/>
  <Override PartName="/xl/activeX/activeX151.bin" ContentType="application/vnd.ms-office.activeX"/>
  <Override PartName="/xl/activeX/activeX152.xml" ContentType="application/vnd.ms-office.activeX+xml"/>
  <Override PartName="/xl/activeX/activeX152.bin" ContentType="application/vnd.ms-office.activeX"/>
  <Override PartName="/xl/activeX/activeX153.xml" ContentType="application/vnd.ms-office.activeX+xml"/>
  <Override PartName="/xl/activeX/activeX153.bin" ContentType="application/vnd.ms-office.activeX"/>
  <Override PartName="/xl/activeX/activeX154.xml" ContentType="application/vnd.ms-office.activeX+xml"/>
  <Override PartName="/xl/activeX/activeX154.bin" ContentType="application/vnd.ms-office.activeX"/>
  <Override PartName="/xl/activeX/activeX155.xml" ContentType="application/vnd.ms-office.activeX+xml"/>
  <Override PartName="/xl/activeX/activeX155.bin" ContentType="application/vnd.ms-office.activeX"/>
  <Override PartName="/xl/activeX/activeX156.xml" ContentType="application/vnd.ms-office.activeX+xml"/>
  <Override PartName="/xl/activeX/activeX156.bin" ContentType="application/vnd.ms-office.activeX"/>
  <Override PartName="/xl/activeX/activeX157.xml" ContentType="application/vnd.ms-office.activeX+xml"/>
  <Override PartName="/xl/activeX/activeX157.bin" ContentType="application/vnd.ms-office.activeX"/>
  <Override PartName="/xl/activeX/activeX158.xml" ContentType="application/vnd.ms-office.activeX+xml"/>
  <Override PartName="/xl/activeX/activeX158.bin" ContentType="application/vnd.ms-office.activeX"/>
  <Override PartName="/xl/activeX/activeX159.xml" ContentType="application/vnd.ms-office.activeX+xml"/>
  <Override PartName="/xl/activeX/activeX159.bin" ContentType="application/vnd.ms-office.activeX"/>
  <Override PartName="/xl/activeX/activeX160.xml" ContentType="application/vnd.ms-office.activeX+xml"/>
  <Override PartName="/xl/activeX/activeX160.bin" ContentType="application/vnd.ms-office.activeX"/>
  <Override PartName="/xl/activeX/activeX161.xml" ContentType="application/vnd.ms-office.activeX+xml"/>
  <Override PartName="/xl/activeX/activeX161.bin" ContentType="application/vnd.ms-office.activeX"/>
  <Override PartName="/xl/activeX/activeX162.xml" ContentType="application/vnd.ms-office.activeX+xml"/>
  <Override PartName="/xl/activeX/activeX162.bin" ContentType="application/vnd.ms-office.activeX"/>
  <Override PartName="/xl/activeX/activeX163.xml" ContentType="application/vnd.ms-office.activeX+xml"/>
  <Override PartName="/xl/activeX/activeX163.bin" ContentType="application/vnd.ms-office.activeX"/>
  <Override PartName="/xl/activeX/activeX164.xml" ContentType="application/vnd.ms-office.activeX+xml"/>
  <Override PartName="/xl/activeX/activeX164.bin" ContentType="application/vnd.ms-office.activeX"/>
  <Override PartName="/xl/activeX/activeX165.xml" ContentType="application/vnd.ms-office.activeX+xml"/>
  <Override PartName="/xl/activeX/activeX165.bin" ContentType="application/vnd.ms-office.activeX"/>
  <Override PartName="/xl/activeX/activeX166.xml" ContentType="application/vnd.ms-office.activeX+xml"/>
  <Override PartName="/xl/activeX/activeX166.bin" ContentType="application/vnd.ms-office.activeX"/>
  <Override PartName="/xl/activeX/activeX167.xml" ContentType="application/vnd.ms-office.activeX+xml"/>
  <Override PartName="/xl/activeX/activeX167.bin" ContentType="application/vnd.ms-office.activeX"/>
  <Override PartName="/xl/activeX/activeX168.xml" ContentType="application/vnd.ms-office.activeX+xml"/>
  <Override PartName="/xl/activeX/activeX168.bin" ContentType="application/vnd.ms-office.activeX"/>
  <Override PartName="/xl/activeX/activeX169.xml" ContentType="application/vnd.ms-office.activeX+xml"/>
  <Override PartName="/xl/activeX/activeX169.bin" ContentType="application/vnd.ms-office.activeX"/>
  <Override PartName="/xl/activeX/activeX170.xml" ContentType="application/vnd.ms-office.activeX+xml"/>
  <Override PartName="/xl/activeX/activeX170.bin" ContentType="application/vnd.ms-office.activeX"/>
  <Override PartName="/xl/activeX/activeX171.xml" ContentType="application/vnd.ms-office.activeX+xml"/>
  <Override PartName="/xl/activeX/activeX171.bin" ContentType="application/vnd.ms-office.activeX"/>
  <Override PartName="/xl/activeX/activeX172.xml" ContentType="application/vnd.ms-office.activeX+xml"/>
  <Override PartName="/xl/activeX/activeX172.bin" ContentType="application/vnd.ms-office.activeX"/>
  <Override PartName="/xl/activeX/activeX173.xml" ContentType="application/vnd.ms-office.activeX+xml"/>
  <Override PartName="/xl/activeX/activeX173.bin" ContentType="application/vnd.ms-office.activeX"/>
  <Override PartName="/xl/activeX/activeX174.xml" ContentType="application/vnd.ms-office.activeX+xml"/>
  <Override PartName="/xl/activeX/activeX174.bin" ContentType="application/vnd.ms-office.activeX"/>
  <Override PartName="/xl/activeX/activeX175.xml" ContentType="application/vnd.ms-office.activeX+xml"/>
  <Override PartName="/xl/activeX/activeX175.bin" ContentType="application/vnd.ms-office.activeX"/>
  <Override PartName="/xl/activeX/activeX176.xml" ContentType="application/vnd.ms-office.activeX+xml"/>
  <Override PartName="/xl/activeX/activeX176.bin" ContentType="application/vnd.ms-office.activeX"/>
  <Override PartName="/xl/activeX/activeX177.xml" ContentType="application/vnd.ms-office.activeX+xml"/>
  <Override PartName="/xl/activeX/activeX177.bin" ContentType="application/vnd.ms-office.activeX"/>
  <Override PartName="/xl/activeX/activeX178.xml" ContentType="application/vnd.ms-office.activeX+xml"/>
  <Override PartName="/xl/activeX/activeX178.bin" ContentType="application/vnd.ms-office.activeX"/>
  <Override PartName="/xl/activeX/activeX179.xml" ContentType="application/vnd.ms-office.activeX+xml"/>
  <Override PartName="/xl/activeX/activeX179.bin" ContentType="application/vnd.ms-office.activeX"/>
  <Override PartName="/xl/activeX/activeX180.xml" ContentType="application/vnd.ms-office.activeX+xml"/>
  <Override PartName="/xl/activeX/activeX180.bin" ContentType="application/vnd.ms-office.activeX"/>
  <Override PartName="/xl/activeX/activeX181.xml" ContentType="application/vnd.ms-office.activeX+xml"/>
  <Override PartName="/xl/activeX/activeX181.bin" ContentType="application/vnd.ms-office.activeX"/>
  <Override PartName="/xl/activeX/activeX182.xml" ContentType="application/vnd.ms-office.activeX+xml"/>
  <Override PartName="/xl/activeX/activeX182.bin" ContentType="application/vnd.ms-office.activeX"/>
  <Override PartName="/xl/activeX/activeX183.xml" ContentType="application/vnd.ms-office.activeX+xml"/>
  <Override PartName="/xl/activeX/activeX183.bin" ContentType="application/vnd.ms-office.activeX"/>
  <Override PartName="/xl/activeX/activeX184.xml" ContentType="application/vnd.ms-office.activeX+xml"/>
  <Override PartName="/xl/activeX/activeX184.bin" ContentType="application/vnd.ms-office.activeX"/>
  <Override PartName="/xl/activeX/activeX185.xml" ContentType="application/vnd.ms-office.activeX+xml"/>
  <Override PartName="/xl/activeX/activeX185.bin" ContentType="application/vnd.ms-office.activeX"/>
  <Override PartName="/xl/activeX/activeX186.xml" ContentType="application/vnd.ms-office.activeX+xml"/>
  <Override PartName="/xl/activeX/activeX186.bin" ContentType="application/vnd.ms-office.activeX"/>
  <Override PartName="/xl/activeX/activeX187.xml" ContentType="application/vnd.ms-office.activeX+xml"/>
  <Override PartName="/xl/activeX/activeX187.bin" ContentType="application/vnd.ms-office.activeX"/>
  <Override PartName="/xl/activeX/activeX188.xml" ContentType="application/vnd.ms-office.activeX+xml"/>
  <Override PartName="/xl/activeX/activeX188.bin" ContentType="application/vnd.ms-office.activeX"/>
  <Override PartName="/xl/activeX/activeX189.xml" ContentType="application/vnd.ms-office.activeX+xml"/>
  <Override PartName="/xl/activeX/activeX189.bin" ContentType="application/vnd.ms-office.activeX"/>
  <Override PartName="/xl/activeX/activeX190.xml" ContentType="application/vnd.ms-office.activeX+xml"/>
  <Override PartName="/xl/activeX/activeX190.bin" ContentType="application/vnd.ms-office.activeX"/>
  <Override PartName="/xl/activeX/activeX191.xml" ContentType="application/vnd.ms-office.activeX+xml"/>
  <Override PartName="/xl/activeX/activeX191.bin" ContentType="application/vnd.ms-office.activeX"/>
  <Override PartName="/xl/activeX/activeX192.xml" ContentType="application/vnd.ms-office.activeX+xml"/>
  <Override PartName="/xl/activeX/activeX192.bin" ContentType="application/vnd.ms-office.activeX"/>
  <Override PartName="/xl/activeX/activeX193.xml" ContentType="application/vnd.ms-office.activeX+xml"/>
  <Override PartName="/xl/activeX/activeX193.bin" ContentType="application/vnd.ms-office.activeX"/>
  <Override PartName="/xl/activeX/activeX194.xml" ContentType="application/vnd.ms-office.activeX+xml"/>
  <Override PartName="/xl/activeX/activeX194.bin" ContentType="application/vnd.ms-office.activeX"/>
  <Override PartName="/xl/activeX/activeX195.xml" ContentType="application/vnd.ms-office.activeX+xml"/>
  <Override PartName="/xl/activeX/activeX195.bin" ContentType="application/vnd.ms-office.activeX"/>
  <Override PartName="/xl/activeX/activeX196.xml" ContentType="application/vnd.ms-office.activeX+xml"/>
  <Override PartName="/xl/activeX/activeX196.bin" ContentType="application/vnd.ms-office.activeX"/>
  <Override PartName="/xl/activeX/activeX197.xml" ContentType="application/vnd.ms-office.activeX+xml"/>
  <Override PartName="/xl/activeX/activeX197.bin" ContentType="application/vnd.ms-office.activeX"/>
  <Override PartName="/xl/activeX/activeX198.xml" ContentType="application/vnd.ms-office.activeX+xml"/>
  <Override PartName="/xl/activeX/activeX198.bin" ContentType="application/vnd.ms-office.activeX"/>
  <Override PartName="/xl/activeX/activeX199.xml" ContentType="application/vnd.ms-office.activeX+xml"/>
  <Override PartName="/xl/activeX/activeX199.bin" ContentType="application/vnd.ms-office.activeX"/>
  <Override PartName="/xl/activeX/activeX200.xml" ContentType="application/vnd.ms-office.activeX+xml"/>
  <Override PartName="/xl/activeX/activeX200.bin" ContentType="application/vnd.ms-office.activeX"/>
  <Override PartName="/xl/activeX/activeX201.xml" ContentType="application/vnd.ms-office.activeX+xml"/>
  <Override PartName="/xl/activeX/activeX201.bin" ContentType="application/vnd.ms-office.activeX"/>
  <Override PartName="/xl/activeX/activeX202.xml" ContentType="application/vnd.ms-office.activeX+xml"/>
  <Override PartName="/xl/activeX/activeX202.bin" ContentType="application/vnd.ms-office.activeX"/>
  <Override PartName="/xl/activeX/activeX203.xml" ContentType="application/vnd.ms-office.activeX+xml"/>
  <Override PartName="/xl/activeX/activeX203.bin" ContentType="application/vnd.ms-office.activeX"/>
  <Override PartName="/xl/activeX/activeX204.xml" ContentType="application/vnd.ms-office.activeX+xml"/>
  <Override PartName="/xl/activeX/activeX204.bin" ContentType="application/vnd.ms-office.activeX"/>
  <Override PartName="/xl/activeX/activeX205.xml" ContentType="application/vnd.ms-office.activeX+xml"/>
  <Override PartName="/xl/activeX/activeX205.bin" ContentType="application/vnd.ms-office.activeX"/>
  <Override PartName="/xl/activeX/activeX206.xml" ContentType="application/vnd.ms-office.activeX+xml"/>
  <Override PartName="/xl/activeX/activeX206.bin" ContentType="application/vnd.ms-office.activeX"/>
  <Override PartName="/xl/activeX/activeX207.xml" ContentType="application/vnd.ms-office.activeX+xml"/>
  <Override PartName="/xl/activeX/activeX207.bin" ContentType="application/vnd.ms-office.activeX"/>
  <Override PartName="/xl/activeX/activeX208.xml" ContentType="application/vnd.ms-office.activeX+xml"/>
  <Override PartName="/xl/activeX/activeX208.bin" ContentType="application/vnd.ms-office.activeX"/>
  <Override PartName="/xl/activeX/activeX209.xml" ContentType="application/vnd.ms-office.activeX+xml"/>
  <Override PartName="/xl/activeX/activeX209.bin" ContentType="application/vnd.ms-office.activeX"/>
  <Override PartName="/xl/activeX/activeX210.xml" ContentType="application/vnd.ms-office.activeX+xml"/>
  <Override PartName="/xl/activeX/activeX210.bin" ContentType="application/vnd.ms-office.activeX"/>
  <Override PartName="/xl/activeX/activeX211.xml" ContentType="application/vnd.ms-office.activeX+xml"/>
  <Override PartName="/xl/activeX/activeX211.bin" ContentType="application/vnd.ms-office.activeX"/>
  <Override PartName="/xl/activeX/activeX212.xml" ContentType="application/vnd.ms-office.activeX+xml"/>
  <Override PartName="/xl/activeX/activeX212.bin" ContentType="application/vnd.ms-office.activeX"/>
  <Override PartName="/xl/activeX/activeX213.xml" ContentType="application/vnd.ms-office.activeX+xml"/>
  <Override PartName="/xl/activeX/activeX213.bin" ContentType="application/vnd.ms-office.activeX"/>
  <Override PartName="/xl/activeX/activeX214.xml" ContentType="application/vnd.ms-office.activeX+xml"/>
  <Override PartName="/xl/activeX/activeX214.bin" ContentType="application/vnd.ms-office.activeX"/>
  <Override PartName="/xl/activeX/activeX215.xml" ContentType="application/vnd.ms-office.activeX+xml"/>
  <Override PartName="/xl/activeX/activeX215.bin" ContentType="application/vnd.ms-office.activeX"/>
  <Override PartName="/xl/activeX/activeX216.xml" ContentType="application/vnd.ms-office.activeX+xml"/>
  <Override PartName="/xl/activeX/activeX216.bin" ContentType="application/vnd.ms-office.activeX"/>
  <Override PartName="/xl/activeX/activeX217.xml" ContentType="application/vnd.ms-office.activeX+xml"/>
  <Override PartName="/xl/activeX/activeX217.bin" ContentType="application/vnd.ms-office.activeX"/>
  <Override PartName="/xl/activeX/activeX218.xml" ContentType="application/vnd.ms-office.activeX+xml"/>
  <Override PartName="/xl/activeX/activeX218.bin" ContentType="application/vnd.ms-office.activeX"/>
  <Override PartName="/xl/activeX/activeX219.xml" ContentType="application/vnd.ms-office.activeX+xml"/>
  <Override PartName="/xl/activeX/activeX219.bin" ContentType="application/vnd.ms-office.activeX"/>
  <Override PartName="/xl/activeX/activeX220.xml" ContentType="application/vnd.ms-office.activeX+xml"/>
  <Override PartName="/xl/activeX/activeX220.bin" ContentType="application/vnd.ms-office.activeX"/>
  <Override PartName="/xl/activeX/activeX221.xml" ContentType="application/vnd.ms-office.activeX+xml"/>
  <Override PartName="/xl/activeX/activeX221.bin" ContentType="application/vnd.ms-office.activeX"/>
  <Override PartName="/xl/activeX/activeX222.xml" ContentType="application/vnd.ms-office.activeX+xml"/>
  <Override PartName="/xl/activeX/activeX222.bin" ContentType="application/vnd.ms-office.activeX"/>
  <Override PartName="/xl/activeX/activeX223.xml" ContentType="application/vnd.ms-office.activeX+xml"/>
  <Override PartName="/xl/activeX/activeX223.bin" ContentType="application/vnd.ms-office.activeX"/>
  <Override PartName="/xl/activeX/activeX224.xml" ContentType="application/vnd.ms-office.activeX+xml"/>
  <Override PartName="/xl/activeX/activeX224.bin" ContentType="application/vnd.ms-office.activeX"/>
  <Override PartName="/xl/activeX/activeX225.xml" ContentType="application/vnd.ms-office.activeX+xml"/>
  <Override PartName="/xl/activeX/activeX225.bin" ContentType="application/vnd.ms-office.activeX"/>
  <Override PartName="/xl/activeX/activeX226.xml" ContentType="application/vnd.ms-office.activeX+xml"/>
  <Override PartName="/xl/activeX/activeX226.bin" ContentType="application/vnd.ms-office.activeX"/>
  <Override PartName="/xl/activeX/activeX227.xml" ContentType="application/vnd.ms-office.activeX+xml"/>
  <Override PartName="/xl/activeX/activeX227.bin" ContentType="application/vnd.ms-office.activeX"/>
  <Override PartName="/xl/activeX/activeX228.xml" ContentType="application/vnd.ms-office.activeX+xml"/>
  <Override PartName="/xl/activeX/activeX228.bin" ContentType="application/vnd.ms-office.activeX"/>
  <Override PartName="/xl/activeX/activeX229.xml" ContentType="application/vnd.ms-office.activeX+xml"/>
  <Override PartName="/xl/activeX/activeX229.bin" ContentType="application/vnd.ms-office.activeX"/>
  <Override PartName="/xl/activeX/activeX230.xml" ContentType="application/vnd.ms-office.activeX+xml"/>
  <Override PartName="/xl/activeX/activeX230.bin" ContentType="application/vnd.ms-office.activeX"/>
  <Override PartName="/xl/activeX/activeX231.xml" ContentType="application/vnd.ms-office.activeX+xml"/>
  <Override PartName="/xl/activeX/activeX231.bin" ContentType="application/vnd.ms-office.activeX"/>
  <Override PartName="/xl/activeX/activeX232.xml" ContentType="application/vnd.ms-office.activeX+xml"/>
  <Override PartName="/xl/activeX/activeX232.bin" ContentType="application/vnd.ms-office.activeX"/>
  <Override PartName="/xl/activeX/activeX233.xml" ContentType="application/vnd.ms-office.activeX+xml"/>
  <Override PartName="/xl/activeX/activeX233.bin" ContentType="application/vnd.ms-office.activeX"/>
  <Override PartName="/xl/activeX/activeX234.xml" ContentType="application/vnd.ms-office.activeX+xml"/>
  <Override PartName="/xl/activeX/activeX234.bin" ContentType="application/vnd.ms-office.activeX"/>
  <Override PartName="/xl/activeX/activeX235.xml" ContentType="application/vnd.ms-office.activeX+xml"/>
  <Override PartName="/xl/activeX/activeX235.bin" ContentType="application/vnd.ms-office.activeX"/>
  <Override PartName="/xl/activeX/activeX236.xml" ContentType="application/vnd.ms-office.activeX+xml"/>
  <Override PartName="/xl/activeX/activeX236.bin" ContentType="application/vnd.ms-office.activeX"/>
  <Override PartName="/xl/activeX/activeX237.xml" ContentType="application/vnd.ms-office.activeX+xml"/>
  <Override PartName="/xl/activeX/activeX237.bin" ContentType="application/vnd.ms-office.activeX"/>
  <Override PartName="/xl/activeX/activeX238.xml" ContentType="application/vnd.ms-office.activeX+xml"/>
  <Override PartName="/xl/activeX/activeX238.bin" ContentType="application/vnd.ms-office.activeX"/>
  <Override PartName="/xl/activeX/activeX239.xml" ContentType="application/vnd.ms-office.activeX+xml"/>
  <Override PartName="/xl/activeX/activeX239.bin" ContentType="application/vnd.ms-office.activeX"/>
  <Override PartName="/xl/activeX/activeX240.xml" ContentType="application/vnd.ms-office.activeX+xml"/>
  <Override PartName="/xl/activeX/activeX240.bin" ContentType="application/vnd.ms-office.activeX"/>
  <Override PartName="/xl/activeX/activeX241.xml" ContentType="application/vnd.ms-office.activeX+xml"/>
  <Override PartName="/xl/activeX/activeX241.bin" ContentType="application/vnd.ms-office.activeX"/>
  <Override PartName="/xl/activeX/activeX242.xml" ContentType="application/vnd.ms-office.activeX+xml"/>
  <Override PartName="/xl/activeX/activeX242.bin" ContentType="application/vnd.ms-office.activeX"/>
  <Override PartName="/xl/activeX/activeX243.xml" ContentType="application/vnd.ms-office.activeX+xml"/>
  <Override PartName="/xl/activeX/activeX243.bin" ContentType="application/vnd.ms-office.activeX"/>
  <Override PartName="/xl/activeX/activeX244.xml" ContentType="application/vnd.ms-office.activeX+xml"/>
  <Override PartName="/xl/activeX/activeX244.bin" ContentType="application/vnd.ms-office.activeX"/>
  <Override PartName="/xl/activeX/activeX245.xml" ContentType="application/vnd.ms-office.activeX+xml"/>
  <Override PartName="/xl/activeX/activeX245.bin" ContentType="application/vnd.ms-office.activeX"/>
  <Override PartName="/xl/activeX/activeX246.xml" ContentType="application/vnd.ms-office.activeX+xml"/>
  <Override PartName="/xl/activeX/activeX246.bin" ContentType="application/vnd.ms-office.activeX"/>
  <Override PartName="/xl/activeX/activeX247.xml" ContentType="application/vnd.ms-office.activeX+xml"/>
  <Override PartName="/xl/activeX/activeX247.bin" ContentType="application/vnd.ms-office.activeX"/>
  <Override PartName="/xl/activeX/activeX248.xml" ContentType="application/vnd.ms-office.activeX+xml"/>
  <Override PartName="/xl/activeX/activeX248.bin" ContentType="application/vnd.ms-office.activeX"/>
  <Override PartName="/xl/activeX/activeX249.xml" ContentType="application/vnd.ms-office.activeX+xml"/>
  <Override PartName="/xl/activeX/activeX249.bin" ContentType="application/vnd.ms-office.activeX"/>
  <Override PartName="/xl/activeX/activeX250.xml" ContentType="application/vnd.ms-office.activeX+xml"/>
  <Override PartName="/xl/activeX/activeX250.bin" ContentType="application/vnd.ms-office.activeX"/>
  <Override PartName="/xl/activeX/activeX251.xml" ContentType="application/vnd.ms-office.activeX+xml"/>
  <Override PartName="/xl/activeX/activeX251.bin" ContentType="application/vnd.ms-office.activeX"/>
  <Override PartName="/xl/activeX/activeX252.xml" ContentType="application/vnd.ms-office.activeX+xml"/>
  <Override PartName="/xl/activeX/activeX252.bin" ContentType="application/vnd.ms-office.activeX"/>
  <Override PartName="/xl/activeX/activeX253.xml" ContentType="application/vnd.ms-office.activeX+xml"/>
  <Override PartName="/xl/activeX/activeX253.bin" ContentType="application/vnd.ms-office.activeX"/>
  <Override PartName="/xl/activeX/activeX254.xml" ContentType="application/vnd.ms-office.activeX+xml"/>
  <Override PartName="/xl/activeX/activeX254.bin" ContentType="application/vnd.ms-office.activeX"/>
  <Override PartName="/xl/activeX/activeX255.xml" ContentType="application/vnd.ms-office.activeX+xml"/>
  <Override PartName="/xl/activeX/activeX255.bin" ContentType="application/vnd.ms-office.activeX"/>
  <Override PartName="/xl/activeX/activeX256.xml" ContentType="application/vnd.ms-office.activeX+xml"/>
  <Override PartName="/xl/activeX/activeX256.bin" ContentType="application/vnd.ms-office.activeX"/>
  <Override PartName="/xl/activeX/activeX257.xml" ContentType="application/vnd.ms-office.activeX+xml"/>
  <Override PartName="/xl/activeX/activeX257.bin" ContentType="application/vnd.ms-office.activeX"/>
  <Override PartName="/xl/activeX/activeX258.xml" ContentType="application/vnd.ms-office.activeX+xml"/>
  <Override PartName="/xl/activeX/activeX258.bin" ContentType="application/vnd.ms-office.activeX"/>
  <Override PartName="/xl/activeX/activeX259.xml" ContentType="application/vnd.ms-office.activeX+xml"/>
  <Override PartName="/xl/activeX/activeX259.bin" ContentType="application/vnd.ms-office.activeX"/>
  <Override PartName="/xl/activeX/activeX260.xml" ContentType="application/vnd.ms-office.activeX+xml"/>
  <Override PartName="/xl/activeX/activeX260.bin" ContentType="application/vnd.ms-office.activeX"/>
  <Override PartName="/xl/activeX/activeX261.xml" ContentType="application/vnd.ms-office.activeX+xml"/>
  <Override PartName="/xl/activeX/activeX261.bin" ContentType="application/vnd.ms-office.activeX"/>
  <Override PartName="/xl/activeX/activeX262.xml" ContentType="application/vnd.ms-office.activeX+xml"/>
  <Override PartName="/xl/activeX/activeX262.bin" ContentType="application/vnd.ms-office.activeX"/>
  <Override PartName="/xl/activeX/activeX263.xml" ContentType="application/vnd.ms-office.activeX+xml"/>
  <Override PartName="/xl/activeX/activeX263.bin" ContentType="application/vnd.ms-office.activeX"/>
  <Override PartName="/xl/activeX/activeX264.xml" ContentType="application/vnd.ms-office.activeX+xml"/>
  <Override PartName="/xl/activeX/activeX264.bin" ContentType="application/vnd.ms-office.activeX"/>
  <Override PartName="/xl/activeX/activeX265.xml" ContentType="application/vnd.ms-office.activeX+xml"/>
  <Override PartName="/xl/activeX/activeX265.bin" ContentType="application/vnd.ms-office.activeX"/>
  <Override PartName="/xl/activeX/activeX266.xml" ContentType="application/vnd.ms-office.activeX+xml"/>
  <Override PartName="/xl/activeX/activeX266.bin" ContentType="application/vnd.ms-office.activeX"/>
  <Override PartName="/xl/activeX/activeX267.xml" ContentType="application/vnd.ms-office.activeX+xml"/>
  <Override PartName="/xl/activeX/activeX267.bin" ContentType="application/vnd.ms-office.activeX"/>
  <Override PartName="/xl/activeX/activeX268.xml" ContentType="application/vnd.ms-office.activeX+xml"/>
  <Override PartName="/xl/activeX/activeX268.bin" ContentType="application/vnd.ms-office.activeX"/>
  <Override PartName="/xl/activeX/activeX269.xml" ContentType="application/vnd.ms-office.activeX+xml"/>
  <Override PartName="/xl/activeX/activeX269.bin" ContentType="application/vnd.ms-office.activeX"/>
  <Override PartName="/xl/activeX/activeX270.xml" ContentType="application/vnd.ms-office.activeX+xml"/>
  <Override PartName="/xl/activeX/activeX270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7650" tabRatio="836" activeTab="1"/>
  </bookViews>
  <sheets>
    <sheet name="תוכניות בניין עיר" sheetId="2" r:id="rId1"/>
    <sheet name="ריכוז נתונים מההסכמים" sheetId="1" r:id="rId2"/>
    <sheet name="עיבוד נתוני מכרזים" sheetId="6" r:id="rId3"/>
    <sheet name="מכרזים מרמי" sheetId="4" r:id="rId4"/>
  </sheets>
  <definedNames>
    <definedName name="_xlnm._FilterDatabase" localSheetId="3" hidden="1">'מכרזים מרמי'!$M$2:$Z$2418</definedName>
    <definedName name="_xlnm._FilterDatabase" localSheetId="1" hidden="1">'ריכוז נתונים מההסכמים'!$A$31:$M$31</definedName>
    <definedName name="_xlnm._FilterDatabase" localSheetId="0" hidden="1">'תוכניות בניין עיר'!$A$1:$V$1</definedName>
  </definedNames>
  <calcPr calcId="152511"/>
  <pivotCaches>
    <pivotCache cacheId="0" r:id="rId5"/>
  </pivotCaches>
</workbook>
</file>

<file path=xl/calcChain.xml><?xml version="1.0" encoding="utf-8"?>
<calcChain xmlns="http://schemas.openxmlformats.org/spreadsheetml/2006/main">
  <c r="BR2" i="1" l="1"/>
  <c r="BR3" i="1"/>
  <c r="BR4" i="1"/>
  <c r="BR5" i="1"/>
  <c r="BR6" i="1"/>
  <c r="BJ9" i="1"/>
  <c r="BJ8" i="1"/>
  <c r="BJ3" i="1"/>
  <c r="BJ2" i="1"/>
  <c r="E26" i="4" l="1"/>
  <c r="E25" i="4"/>
  <c r="E24" i="4"/>
  <c r="E23" i="4"/>
  <c r="E22" i="4"/>
  <c r="E21" i="4"/>
  <c r="E20" i="4"/>
  <c r="E19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2" i="4"/>
  <c r="H26" i="4"/>
  <c r="H25" i="4"/>
  <c r="H24" i="4"/>
  <c r="H23" i="4"/>
  <c r="H22" i="4"/>
  <c r="H21" i="4"/>
  <c r="H19" i="4"/>
  <c r="H17" i="4"/>
  <c r="H13" i="4"/>
  <c r="G26" i="4"/>
  <c r="G25" i="4"/>
  <c r="G24" i="4"/>
  <c r="G23" i="4"/>
  <c r="G22" i="4"/>
  <c r="G21" i="4"/>
  <c r="G20" i="4"/>
  <c r="G19" i="4"/>
  <c r="G17" i="4"/>
  <c r="G16" i="4"/>
  <c r="G15" i="4"/>
  <c r="G14" i="4"/>
  <c r="G13" i="4"/>
  <c r="G12" i="4"/>
  <c r="G11" i="4"/>
  <c r="G10" i="4"/>
  <c r="G8" i="4"/>
  <c r="G7" i="4"/>
  <c r="G6" i="4"/>
  <c r="G5" i="4"/>
  <c r="G4" i="4"/>
  <c r="G3" i="4"/>
  <c r="G2" i="4"/>
  <c r="G9" i="4"/>
  <c r="Z9" i="1" l="1"/>
  <c r="BN8" i="1" l="1"/>
  <c r="BN3" i="1"/>
  <c r="BM2" i="1"/>
  <c r="BN4" i="1" l="1"/>
  <c r="BG12" i="1"/>
  <c r="BG13" i="1"/>
  <c r="G60" i="1" l="1"/>
  <c r="D78" i="1" s="1"/>
  <c r="H86" i="1"/>
  <c r="H83" i="1"/>
  <c r="H82" i="1"/>
  <c r="H81" i="1"/>
  <c r="H79" i="1"/>
  <c r="H78" i="1"/>
  <c r="H77" i="1"/>
  <c r="H76" i="1"/>
  <c r="H75" i="1"/>
  <c r="H74" i="1"/>
  <c r="G86" i="1"/>
  <c r="G83" i="1"/>
  <c r="G82" i="1"/>
  <c r="G81" i="1"/>
  <c r="G79" i="1"/>
  <c r="G78" i="1"/>
  <c r="G77" i="1"/>
  <c r="G74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F86" i="1"/>
  <c r="F84" i="1"/>
  <c r="F83" i="1"/>
  <c r="F82" i="1"/>
  <c r="F81" i="1"/>
  <c r="F80" i="1"/>
  <c r="F79" i="1"/>
  <c r="F78" i="1"/>
  <c r="F77" i="1"/>
  <c r="F74" i="1"/>
  <c r="E86" i="1"/>
  <c r="E85" i="1"/>
  <c r="E83" i="1"/>
  <c r="E82" i="1"/>
  <c r="E79" i="1"/>
  <c r="E78" i="1"/>
  <c r="E77" i="1"/>
  <c r="E75" i="1"/>
  <c r="E74" i="1"/>
  <c r="D88" i="1"/>
  <c r="D86" i="1"/>
  <c r="D84" i="1"/>
  <c r="D75" i="1"/>
  <c r="D74" i="1"/>
  <c r="C86" i="1"/>
  <c r="C84" i="1"/>
  <c r="C75" i="1"/>
  <c r="O32" i="1"/>
  <c r="P32" i="1"/>
  <c r="Q32" i="1"/>
  <c r="O33" i="1"/>
  <c r="N39" i="1"/>
  <c r="O39" i="1"/>
  <c r="P43" i="1"/>
  <c r="O43" i="1"/>
  <c r="N43" i="1"/>
  <c r="P41" i="1"/>
  <c r="N41" i="1"/>
  <c r="P36" i="1"/>
  <c r="N38" i="1"/>
  <c r="K38" i="1" s="1"/>
  <c r="P40" i="1"/>
  <c r="O40" i="1"/>
  <c r="M40" i="1" s="1"/>
  <c r="N40" i="1"/>
  <c r="Q45" i="1"/>
  <c r="P45" i="1"/>
  <c r="N45" i="1"/>
  <c r="Q44" i="1"/>
  <c r="P44" i="1"/>
  <c r="N44" i="1"/>
  <c r="M44" i="1" s="1"/>
  <c r="Q51" i="1"/>
  <c r="P51" i="1"/>
  <c r="N51" i="1"/>
  <c r="Q50" i="1"/>
  <c r="P50" i="1"/>
  <c r="N50" i="1"/>
  <c r="Q49" i="1"/>
  <c r="P49" i="1"/>
  <c r="N49" i="1"/>
  <c r="Q48" i="1"/>
  <c r="P48" i="1"/>
  <c r="N48" i="1"/>
  <c r="P46" i="1"/>
  <c r="Q42" i="1"/>
  <c r="P42" i="1"/>
  <c r="N42" i="1"/>
  <c r="Q37" i="1"/>
  <c r="P37" i="1"/>
  <c r="Q47" i="1"/>
  <c r="P47" i="1"/>
  <c r="O47" i="1"/>
  <c r="N47" i="1"/>
  <c r="N35" i="1"/>
  <c r="N34" i="1"/>
  <c r="I36" i="1"/>
  <c r="G76" i="1" s="1"/>
  <c r="L45" i="1"/>
  <c r="K45" i="1"/>
  <c r="J45" i="1"/>
  <c r="I45" i="1"/>
  <c r="I51" i="1"/>
  <c r="F88" i="1" s="1"/>
  <c r="H51" i="1"/>
  <c r="I50" i="1"/>
  <c r="F87" i="1" s="1"/>
  <c r="H50" i="1"/>
  <c r="E87" i="1" s="1"/>
  <c r="G50" i="1"/>
  <c r="D87" i="1" s="1"/>
  <c r="F50" i="1"/>
  <c r="H42" i="1"/>
  <c r="E80" i="1" s="1"/>
  <c r="G42" i="1"/>
  <c r="D80" i="1" s="1"/>
  <c r="F42" i="1"/>
  <c r="C80" i="1" s="1"/>
  <c r="H47" i="1"/>
  <c r="G84" i="1" s="1"/>
  <c r="I35" i="1"/>
  <c r="G75" i="1" s="1"/>
  <c r="G45" i="6"/>
  <c r="G44" i="6"/>
  <c r="G43" i="6"/>
  <c r="G42" i="6"/>
  <c r="G41" i="6"/>
  <c r="G40" i="6"/>
  <c r="G39" i="6"/>
  <c r="G38" i="6"/>
  <c r="G37" i="6"/>
  <c r="G36" i="6"/>
  <c r="G35" i="6"/>
  <c r="G34" i="6"/>
  <c r="G33" i="6"/>
  <c r="G32" i="6"/>
  <c r="G31" i="6"/>
  <c r="K30" i="6"/>
  <c r="I30" i="6"/>
  <c r="I40" i="6"/>
  <c r="I39" i="6"/>
  <c r="I38" i="6"/>
  <c r="I36" i="6"/>
  <c r="I35" i="6"/>
  <c r="I31" i="6"/>
  <c r="K33" i="6"/>
  <c r="K45" i="6"/>
  <c r="K44" i="6"/>
  <c r="K43" i="6"/>
  <c r="K42" i="6"/>
  <c r="K41" i="6"/>
  <c r="K40" i="6"/>
  <c r="K39" i="6"/>
  <c r="K38" i="6"/>
  <c r="K37" i="6"/>
  <c r="K36" i="6"/>
  <c r="K35" i="6"/>
  <c r="K34" i="6"/>
  <c r="K32" i="6"/>
  <c r="K31" i="6"/>
  <c r="H44" i="6"/>
  <c r="H43" i="6"/>
  <c r="H32" i="6"/>
  <c r="H31" i="6"/>
  <c r="V2406" i="4"/>
  <c r="U2406" i="4"/>
  <c r="V2405" i="4"/>
  <c r="U2405" i="4"/>
  <c r="V2404" i="4"/>
  <c r="U2404" i="4"/>
  <c r="V2403" i="4"/>
  <c r="U2403" i="4"/>
  <c r="V2402" i="4"/>
  <c r="U2402" i="4"/>
  <c r="V2401" i="4"/>
  <c r="U2401" i="4"/>
  <c r="V2400" i="4"/>
  <c r="U2400" i="4"/>
  <c r="V2399" i="4"/>
  <c r="U2399" i="4"/>
  <c r="V2398" i="4"/>
  <c r="U2398" i="4"/>
  <c r="V2397" i="4"/>
  <c r="U2397" i="4"/>
  <c r="V2396" i="4"/>
  <c r="U2396" i="4"/>
  <c r="V2395" i="4"/>
  <c r="U2395" i="4"/>
  <c r="V2394" i="4"/>
  <c r="U2394" i="4"/>
  <c r="V2393" i="4"/>
  <c r="U2393" i="4"/>
  <c r="V2392" i="4"/>
  <c r="U2392" i="4"/>
  <c r="V2391" i="4"/>
  <c r="U2391" i="4"/>
  <c r="V2390" i="4"/>
  <c r="U2390" i="4"/>
  <c r="V2389" i="4"/>
  <c r="U2389" i="4"/>
  <c r="V2388" i="4"/>
  <c r="U2388" i="4"/>
  <c r="V2387" i="4"/>
  <c r="U2387" i="4"/>
  <c r="V2386" i="4"/>
  <c r="U2386" i="4"/>
  <c r="V2385" i="4"/>
  <c r="U2385" i="4"/>
  <c r="V2384" i="4"/>
  <c r="U2384" i="4"/>
  <c r="V2383" i="4"/>
  <c r="U2383" i="4"/>
  <c r="V2382" i="4"/>
  <c r="U2382" i="4"/>
  <c r="V2381" i="4"/>
  <c r="U2381" i="4"/>
  <c r="V2380" i="4"/>
  <c r="U2380" i="4"/>
  <c r="V2379" i="4"/>
  <c r="U2379" i="4"/>
  <c r="V2378" i="4"/>
  <c r="U2378" i="4"/>
  <c r="V2377" i="4"/>
  <c r="U2377" i="4"/>
  <c r="V2376" i="4"/>
  <c r="U2376" i="4"/>
  <c r="V2375" i="4"/>
  <c r="U2375" i="4"/>
  <c r="V2374" i="4"/>
  <c r="U2374" i="4"/>
  <c r="V2373" i="4"/>
  <c r="U2373" i="4"/>
  <c r="V2372" i="4"/>
  <c r="U2372" i="4"/>
  <c r="V2371" i="4"/>
  <c r="U2371" i="4"/>
  <c r="V2370" i="4"/>
  <c r="U2370" i="4"/>
  <c r="V2369" i="4"/>
  <c r="U2369" i="4"/>
  <c r="V2368" i="4"/>
  <c r="U2368" i="4"/>
  <c r="V2367" i="4"/>
  <c r="U2367" i="4"/>
  <c r="V2366" i="4"/>
  <c r="U2366" i="4"/>
  <c r="V2365" i="4"/>
  <c r="U2365" i="4"/>
  <c r="V2364" i="4"/>
  <c r="U2364" i="4"/>
  <c r="V2363" i="4"/>
  <c r="U2363" i="4"/>
  <c r="V2362" i="4"/>
  <c r="U2362" i="4"/>
  <c r="V2361" i="4"/>
  <c r="U2361" i="4"/>
  <c r="V2360" i="4"/>
  <c r="U2360" i="4"/>
  <c r="V2359" i="4"/>
  <c r="U2359" i="4"/>
  <c r="V2358" i="4"/>
  <c r="U2358" i="4"/>
  <c r="V2357" i="4"/>
  <c r="U2357" i="4"/>
  <c r="V2356" i="4"/>
  <c r="U2356" i="4"/>
  <c r="V2355" i="4"/>
  <c r="U2355" i="4"/>
  <c r="V2354" i="4"/>
  <c r="U2354" i="4"/>
  <c r="V2353" i="4"/>
  <c r="U2353" i="4"/>
  <c r="V2352" i="4"/>
  <c r="U2352" i="4"/>
  <c r="V2351" i="4"/>
  <c r="U2351" i="4"/>
  <c r="V2350" i="4"/>
  <c r="U2350" i="4"/>
  <c r="V2349" i="4"/>
  <c r="U2349" i="4"/>
  <c r="V2348" i="4"/>
  <c r="U2348" i="4"/>
  <c r="V2347" i="4"/>
  <c r="U2347" i="4"/>
  <c r="V2346" i="4"/>
  <c r="U2346" i="4"/>
  <c r="V2345" i="4"/>
  <c r="U2345" i="4"/>
  <c r="V2344" i="4"/>
  <c r="U2344" i="4"/>
  <c r="V2343" i="4"/>
  <c r="U2343" i="4"/>
  <c r="V2342" i="4"/>
  <c r="U2342" i="4"/>
  <c r="V2341" i="4"/>
  <c r="U2341" i="4"/>
  <c r="V2340" i="4"/>
  <c r="U2340" i="4"/>
  <c r="V2339" i="4"/>
  <c r="U2339" i="4"/>
  <c r="V2338" i="4"/>
  <c r="U2338" i="4"/>
  <c r="V2337" i="4"/>
  <c r="U2337" i="4"/>
  <c r="V2336" i="4"/>
  <c r="U2336" i="4"/>
  <c r="V2335" i="4"/>
  <c r="U2335" i="4"/>
  <c r="V2334" i="4"/>
  <c r="U2334" i="4"/>
  <c r="V2333" i="4"/>
  <c r="U2333" i="4"/>
  <c r="V2332" i="4"/>
  <c r="U2332" i="4"/>
  <c r="V2331" i="4"/>
  <c r="U2331" i="4"/>
  <c r="V2330" i="4"/>
  <c r="U2330" i="4"/>
  <c r="V2329" i="4"/>
  <c r="U2329" i="4"/>
  <c r="V2328" i="4"/>
  <c r="U2328" i="4"/>
  <c r="V2327" i="4"/>
  <c r="U2327" i="4"/>
  <c r="V2326" i="4"/>
  <c r="U2326" i="4"/>
  <c r="V2325" i="4"/>
  <c r="U2325" i="4"/>
  <c r="V2324" i="4"/>
  <c r="U2324" i="4"/>
  <c r="V2323" i="4"/>
  <c r="U2323" i="4"/>
  <c r="V2322" i="4"/>
  <c r="U2322" i="4"/>
  <c r="V2321" i="4"/>
  <c r="U2321" i="4"/>
  <c r="V2320" i="4"/>
  <c r="U2320" i="4"/>
  <c r="V2319" i="4"/>
  <c r="U2319" i="4"/>
  <c r="V2318" i="4"/>
  <c r="U2318" i="4"/>
  <c r="V2317" i="4"/>
  <c r="U2317" i="4"/>
  <c r="V2316" i="4"/>
  <c r="U2316" i="4"/>
  <c r="V2315" i="4"/>
  <c r="U2315" i="4"/>
  <c r="V2314" i="4"/>
  <c r="U2314" i="4"/>
  <c r="V2313" i="4"/>
  <c r="U2313" i="4"/>
  <c r="V2312" i="4"/>
  <c r="U2312" i="4"/>
  <c r="V2311" i="4"/>
  <c r="U2311" i="4"/>
  <c r="V2310" i="4"/>
  <c r="U2310" i="4"/>
  <c r="V2309" i="4"/>
  <c r="U2309" i="4"/>
  <c r="V2308" i="4"/>
  <c r="U2308" i="4"/>
  <c r="V2307" i="4"/>
  <c r="U2307" i="4"/>
  <c r="V2306" i="4"/>
  <c r="U2306" i="4"/>
  <c r="V2305" i="4"/>
  <c r="U2305" i="4"/>
  <c r="V2304" i="4"/>
  <c r="U2304" i="4"/>
  <c r="V2303" i="4"/>
  <c r="U2303" i="4"/>
  <c r="V2302" i="4"/>
  <c r="U2302" i="4"/>
  <c r="V2301" i="4"/>
  <c r="U2301" i="4"/>
  <c r="V2300" i="4"/>
  <c r="U2300" i="4"/>
  <c r="V2299" i="4"/>
  <c r="U2299" i="4"/>
  <c r="V2298" i="4"/>
  <c r="U2298" i="4"/>
  <c r="V2297" i="4"/>
  <c r="U2297" i="4"/>
  <c r="V2296" i="4"/>
  <c r="U2296" i="4"/>
  <c r="V2295" i="4"/>
  <c r="U2295" i="4"/>
  <c r="V2294" i="4"/>
  <c r="U2294" i="4"/>
  <c r="V2293" i="4"/>
  <c r="U2293" i="4"/>
  <c r="V2292" i="4"/>
  <c r="U2292" i="4"/>
  <c r="V2291" i="4"/>
  <c r="U2291" i="4"/>
  <c r="V2290" i="4"/>
  <c r="U2290" i="4"/>
  <c r="V2289" i="4"/>
  <c r="U2289" i="4"/>
  <c r="V2288" i="4"/>
  <c r="U2288" i="4"/>
  <c r="V2287" i="4"/>
  <c r="U2287" i="4"/>
  <c r="V2286" i="4"/>
  <c r="U2286" i="4"/>
  <c r="V2285" i="4"/>
  <c r="U2285" i="4"/>
  <c r="V2284" i="4"/>
  <c r="U2284" i="4"/>
  <c r="V2283" i="4"/>
  <c r="U2283" i="4"/>
  <c r="V2282" i="4"/>
  <c r="U2282" i="4"/>
  <c r="V2281" i="4"/>
  <c r="U2281" i="4"/>
  <c r="V2280" i="4"/>
  <c r="U2280" i="4"/>
  <c r="V2279" i="4"/>
  <c r="U2279" i="4"/>
  <c r="V2278" i="4"/>
  <c r="U2278" i="4"/>
  <c r="V2277" i="4"/>
  <c r="U2277" i="4"/>
  <c r="V2276" i="4"/>
  <c r="U2276" i="4"/>
  <c r="V2275" i="4"/>
  <c r="U2275" i="4"/>
  <c r="V2274" i="4"/>
  <c r="U2274" i="4"/>
  <c r="V2273" i="4"/>
  <c r="U2273" i="4"/>
  <c r="V2272" i="4"/>
  <c r="U2272" i="4"/>
  <c r="V2271" i="4"/>
  <c r="U2271" i="4"/>
  <c r="V2270" i="4"/>
  <c r="U2270" i="4"/>
  <c r="V2269" i="4"/>
  <c r="U2269" i="4"/>
  <c r="V2268" i="4"/>
  <c r="U2268" i="4"/>
  <c r="V2267" i="4"/>
  <c r="U2267" i="4"/>
  <c r="V2266" i="4"/>
  <c r="U2266" i="4"/>
  <c r="V2265" i="4"/>
  <c r="U2265" i="4"/>
  <c r="V2264" i="4"/>
  <c r="U2264" i="4"/>
  <c r="V2263" i="4"/>
  <c r="U2263" i="4"/>
  <c r="V2262" i="4"/>
  <c r="U2262" i="4"/>
  <c r="V2261" i="4"/>
  <c r="U2261" i="4"/>
  <c r="V2260" i="4"/>
  <c r="U2260" i="4"/>
  <c r="V2259" i="4"/>
  <c r="U2259" i="4"/>
  <c r="V2258" i="4"/>
  <c r="U2258" i="4"/>
  <c r="V2257" i="4"/>
  <c r="U2257" i="4"/>
  <c r="V2256" i="4"/>
  <c r="U2256" i="4"/>
  <c r="V2255" i="4"/>
  <c r="U2255" i="4"/>
  <c r="V2254" i="4"/>
  <c r="U2254" i="4"/>
  <c r="V2253" i="4"/>
  <c r="U2253" i="4"/>
  <c r="V2252" i="4"/>
  <c r="U2252" i="4"/>
  <c r="V2251" i="4"/>
  <c r="U2251" i="4"/>
  <c r="V2250" i="4"/>
  <c r="U2250" i="4"/>
  <c r="V2249" i="4"/>
  <c r="U2249" i="4"/>
  <c r="V2248" i="4"/>
  <c r="U2248" i="4"/>
  <c r="V2247" i="4"/>
  <c r="U2247" i="4"/>
  <c r="V2246" i="4"/>
  <c r="U2246" i="4"/>
  <c r="V2245" i="4"/>
  <c r="U2245" i="4"/>
  <c r="V2244" i="4"/>
  <c r="U2244" i="4"/>
  <c r="V2243" i="4"/>
  <c r="U2243" i="4"/>
  <c r="V2242" i="4"/>
  <c r="U2242" i="4"/>
  <c r="V2241" i="4"/>
  <c r="U2241" i="4"/>
  <c r="V2240" i="4"/>
  <c r="U2240" i="4"/>
  <c r="V2239" i="4"/>
  <c r="U2239" i="4"/>
  <c r="V2238" i="4"/>
  <c r="U2238" i="4"/>
  <c r="V2237" i="4"/>
  <c r="U2237" i="4"/>
  <c r="V2236" i="4"/>
  <c r="U2236" i="4"/>
  <c r="V2235" i="4"/>
  <c r="U2235" i="4"/>
  <c r="V2234" i="4"/>
  <c r="U2234" i="4"/>
  <c r="V2233" i="4"/>
  <c r="U2233" i="4"/>
  <c r="V2232" i="4"/>
  <c r="U2232" i="4"/>
  <c r="V2231" i="4"/>
  <c r="U2231" i="4"/>
  <c r="V2230" i="4"/>
  <c r="U2230" i="4"/>
  <c r="V2229" i="4"/>
  <c r="U2229" i="4"/>
  <c r="V2228" i="4"/>
  <c r="U2228" i="4"/>
  <c r="V2227" i="4"/>
  <c r="U2227" i="4"/>
  <c r="V2226" i="4"/>
  <c r="U2226" i="4"/>
  <c r="V2225" i="4"/>
  <c r="U2225" i="4"/>
  <c r="V2224" i="4"/>
  <c r="U2224" i="4"/>
  <c r="V2223" i="4"/>
  <c r="U2223" i="4"/>
  <c r="V2222" i="4"/>
  <c r="U2222" i="4"/>
  <c r="V2221" i="4"/>
  <c r="U2221" i="4"/>
  <c r="V2220" i="4"/>
  <c r="U2220" i="4"/>
  <c r="V2219" i="4"/>
  <c r="U2219" i="4"/>
  <c r="V2218" i="4"/>
  <c r="U2218" i="4"/>
  <c r="V2217" i="4"/>
  <c r="U2217" i="4"/>
  <c r="V2216" i="4"/>
  <c r="U2216" i="4"/>
  <c r="V2215" i="4"/>
  <c r="U2215" i="4"/>
  <c r="V2214" i="4"/>
  <c r="U2214" i="4"/>
  <c r="V2213" i="4"/>
  <c r="U2213" i="4"/>
  <c r="V2212" i="4"/>
  <c r="U2212" i="4"/>
  <c r="V2211" i="4"/>
  <c r="U2211" i="4"/>
  <c r="V2210" i="4"/>
  <c r="U2210" i="4"/>
  <c r="V2209" i="4"/>
  <c r="U2209" i="4"/>
  <c r="V2208" i="4"/>
  <c r="U2208" i="4"/>
  <c r="V2207" i="4"/>
  <c r="U2207" i="4"/>
  <c r="V2206" i="4"/>
  <c r="U2206" i="4"/>
  <c r="V2205" i="4"/>
  <c r="U2205" i="4"/>
  <c r="V2204" i="4"/>
  <c r="U2204" i="4"/>
  <c r="V2203" i="4"/>
  <c r="U2203" i="4"/>
  <c r="V2202" i="4"/>
  <c r="U2202" i="4"/>
  <c r="V2201" i="4"/>
  <c r="U2201" i="4"/>
  <c r="V2200" i="4"/>
  <c r="U2200" i="4"/>
  <c r="V2199" i="4"/>
  <c r="U2199" i="4"/>
  <c r="V2198" i="4"/>
  <c r="U2198" i="4"/>
  <c r="V2197" i="4"/>
  <c r="U2197" i="4"/>
  <c r="V2196" i="4"/>
  <c r="U2196" i="4"/>
  <c r="V2195" i="4"/>
  <c r="U2195" i="4"/>
  <c r="V2194" i="4"/>
  <c r="U2194" i="4"/>
  <c r="V2193" i="4"/>
  <c r="U2193" i="4"/>
  <c r="V2192" i="4"/>
  <c r="U2192" i="4"/>
  <c r="V2191" i="4"/>
  <c r="U2191" i="4"/>
  <c r="V2190" i="4"/>
  <c r="U2190" i="4"/>
  <c r="V2189" i="4"/>
  <c r="U2189" i="4"/>
  <c r="V2188" i="4"/>
  <c r="U2188" i="4"/>
  <c r="V2187" i="4"/>
  <c r="U2187" i="4"/>
  <c r="V2186" i="4"/>
  <c r="U2186" i="4"/>
  <c r="V2185" i="4"/>
  <c r="U2185" i="4"/>
  <c r="V2184" i="4"/>
  <c r="U2184" i="4"/>
  <c r="V2183" i="4"/>
  <c r="U2183" i="4"/>
  <c r="V2182" i="4"/>
  <c r="U2182" i="4"/>
  <c r="V2181" i="4"/>
  <c r="U2181" i="4"/>
  <c r="V2180" i="4"/>
  <c r="U2180" i="4"/>
  <c r="V2179" i="4"/>
  <c r="U2179" i="4"/>
  <c r="V2178" i="4"/>
  <c r="U2178" i="4"/>
  <c r="V2177" i="4"/>
  <c r="U2177" i="4"/>
  <c r="V2176" i="4"/>
  <c r="U2176" i="4"/>
  <c r="V2175" i="4"/>
  <c r="U2175" i="4"/>
  <c r="V2174" i="4"/>
  <c r="U2174" i="4"/>
  <c r="V2173" i="4"/>
  <c r="U2173" i="4"/>
  <c r="V2172" i="4"/>
  <c r="U2172" i="4"/>
  <c r="V2171" i="4"/>
  <c r="U2171" i="4"/>
  <c r="V2170" i="4"/>
  <c r="U2170" i="4"/>
  <c r="V2169" i="4"/>
  <c r="U2169" i="4"/>
  <c r="V2168" i="4"/>
  <c r="U2168" i="4"/>
  <c r="V2167" i="4"/>
  <c r="U2167" i="4"/>
  <c r="V2166" i="4"/>
  <c r="U2166" i="4"/>
  <c r="V2165" i="4"/>
  <c r="U2165" i="4"/>
  <c r="V2164" i="4"/>
  <c r="U2164" i="4"/>
  <c r="V2163" i="4"/>
  <c r="U2163" i="4"/>
  <c r="V2162" i="4"/>
  <c r="U2162" i="4"/>
  <c r="V2161" i="4"/>
  <c r="U2161" i="4"/>
  <c r="V2160" i="4"/>
  <c r="U2160" i="4"/>
  <c r="V2159" i="4"/>
  <c r="U2159" i="4"/>
  <c r="V2158" i="4"/>
  <c r="U2158" i="4"/>
  <c r="V2157" i="4"/>
  <c r="U2157" i="4"/>
  <c r="V2156" i="4"/>
  <c r="U2156" i="4"/>
  <c r="V2155" i="4"/>
  <c r="U2155" i="4"/>
  <c r="V2154" i="4"/>
  <c r="U2154" i="4"/>
  <c r="V2153" i="4"/>
  <c r="U2153" i="4"/>
  <c r="V2152" i="4"/>
  <c r="U2152" i="4"/>
  <c r="V2151" i="4"/>
  <c r="U2151" i="4"/>
  <c r="V2150" i="4"/>
  <c r="U2150" i="4"/>
  <c r="V2149" i="4"/>
  <c r="U2149" i="4"/>
  <c r="V2148" i="4"/>
  <c r="U2148" i="4"/>
  <c r="V2147" i="4"/>
  <c r="U2147" i="4"/>
  <c r="V2146" i="4"/>
  <c r="U2146" i="4"/>
  <c r="V2145" i="4"/>
  <c r="U2145" i="4"/>
  <c r="V2144" i="4"/>
  <c r="U2144" i="4"/>
  <c r="V2143" i="4"/>
  <c r="U2143" i="4"/>
  <c r="V2142" i="4"/>
  <c r="U2142" i="4"/>
  <c r="V2141" i="4"/>
  <c r="U2141" i="4"/>
  <c r="V2140" i="4"/>
  <c r="U2140" i="4"/>
  <c r="V2139" i="4"/>
  <c r="U2139" i="4"/>
  <c r="V2138" i="4"/>
  <c r="U2138" i="4"/>
  <c r="V2137" i="4"/>
  <c r="U2137" i="4"/>
  <c r="V2136" i="4"/>
  <c r="U2136" i="4"/>
  <c r="V2135" i="4"/>
  <c r="U2135" i="4"/>
  <c r="V2134" i="4"/>
  <c r="U2134" i="4"/>
  <c r="V2133" i="4"/>
  <c r="U2133" i="4"/>
  <c r="V2132" i="4"/>
  <c r="U2132" i="4"/>
  <c r="V2131" i="4"/>
  <c r="U2131" i="4"/>
  <c r="V2130" i="4"/>
  <c r="U2130" i="4"/>
  <c r="V2129" i="4"/>
  <c r="U2129" i="4"/>
  <c r="V2128" i="4"/>
  <c r="U2128" i="4"/>
  <c r="V2127" i="4"/>
  <c r="U2127" i="4"/>
  <c r="V2126" i="4"/>
  <c r="U2126" i="4"/>
  <c r="V2125" i="4"/>
  <c r="U2125" i="4"/>
  <c r="V2124" i="4"/>
  <c r="U2124" i="4"/>
  <c r="V2123" i="4"/>
  <c r="U2123" i="4"/>
  <c r="V2122" i="4"/>
  <c r="U2122" i="4"/>
  <c r="V2121" i="4"/>
  <c r="U2121" i="4"/>
  <c r="V2120" i="4"/>
  <c r="U2120" i="4"/>
  <c r="V2119" i="4"/>
  <c r="U2119" i="4"/>
  <c r="V2118" i="4"/>
  <c r="U2118" i="4"/>
  <c r="V2117" i="4"/>
  <c r="U2117" i="4"/>
  <c r="V2116" i="4"/>
  <c r="U2116" i="4"/>
  <c r="V2115" i="4"/>
  <c r="U2115" i="4"/>
  <c r="V2114" i="4"/>
  <c r="U2114" i="4"/>
  <c r="V2113" i="4"/>
  <c r="U2113" i="4"/>
  <c r="V2112" i="4"/>
  <c r="U2112" i="4"/>
  <c r="V2111" i="4"/>
  <c r="U2111" i="4"/>
  <c r="V2110" i="4"/>
  <c r="U2110" i="4"/>
  <c r="V2109" i="4"/>
  <c r="U2109" i="4"/>
  <c r="V2108" i="4"/>
  <c r="U2108" i="4"/>
  <c r="V2107" i="4"/>
  <c r="U2107" i="4"/>
  <c r="V2106" i="4"/>
  <c r="U2106" i="4"/>
  <c r="V2105" i="4"/>
  <c r="U2105" i="4"/>
  <c r="V2104" i="4"/>
  <c r="U2104" i="4"/>
  <c r="V2103" i="4"/>
  <c r="U2103" i="4"/>
  <c r="V2102" i="4"/>
  <c r="U2102" i="4"/>
  <c r="V2101" i="4"/>
  <c r="U2101" i="4"/>
  <c r="V2100" i="4"/>
  <c r="U2100" i="4"/>
  <c r="V2099" i="4"/>
  <c r="U2099" i="4"/>
  <c r="V2098" i="4"/>
  <c r="U2098" i="4"/>
  <c r="V2097" i="4"/>
  <c r="U2097" i="4"/>
  <c r="V2096" i="4"/>
  <c r="U2096" i="4"/>
  <c r="V2095" i="4"/>
  <c r="U2095" i="4"/>
  <c r="V2094" i="4"/>
  <c r="U2094" i="4"/>
  <c r="V2093" i="4"/>
  <c r="U2093" i="4"/>
  <c r="V2092" i="4"/>
  <c r="U2092" i="4"/>
  <c r="V2091" i="4"/>
  <c r="U2091" i="4"/>
  <c r="V2090" i="4"/>
  <c r="U2090" i="4"/>
  <c r="V2089" i="4"/>
  <c r="U2089" i="4"/>
  <c r="V2088" i="4"/>
  <c r="U2088" i="4"/>
  <c r="V2087" i="4"/>
  <c r="U2087" i="4"/>
  <c r="V2086" i="4"/>
  <c r="U2086" i="4"/>
  <c r="V2085" i="4"/>
  <c r="U2085" i="4"/>
  <c r="V2084" i="4"/>
  <c r="U2084" i="4"/>
  <c r="V2083" i="4"/>
  <c r="U2083" i="4"/>
  <c r="V2082" i="4"/>
  <c r="U2082" i="4"/>
  <c r="V2081" i="4"/>
  <c r="U2081" i="4"/>
  <c r="V2080" i="4"/>
  <c r="U2080" i="4"/>
  <c r="V2079" i="4"/>
  <c r="U2079" i="4"/>
  <c r="V2078" i="4"/>
  <c r="U2078" i="4"/>
  <c r="V2077" i="4"/>
  <c r="U2077" i="4"/>
  <c r="V2076" i="4"/>
  <c r="U2076" i="4"/>
  <c r="V2075" i="4"/>
  <c r="U2075" i="4"/>
  <c r="V2074" i="4"/>
  <c r="U2074" i="4"/>
  <c r="V2073" i="4"/>
  <c r="U2073" i="4"/>
  <c r="V2072" i="4"/>
  <c r="U2072" i="4"/>
  <c r="V2071" i="4"/>
  <c r="U2071" i="4"/>
  <c r="V2070" i="4"/>
  <c r="U2070" i="4"/>
  <c r="V2069" i="4"/>
  <c r="U2069" i="4"/>
  <c r="V2068" i="4"/>
  <c r="U2068" i="4"/>
  <c r="V2067" i="4"/>
  <c r="U2067" i="4"/>
  <c r="V2066" i="4"/>
  <c r="U2066" i="4"/>
  <c r="V2065" i="4"/>
  <c r="U2065" i="4"/>
  <c r="V2064" i="4"/>
  <c r="U2064" i="4"/>
  <c r="V2063" i="4"/>
  <c r="U2063" i="4"/>
  <c r="V2062" i="4"/>
  <c r="U2062" i="4"/>
  <c r="V2061" i="4"/>
  <c r="U2061" i="4"/>
  <c r="V2060" i="4"/>
  <c r="U2060" i="4"/>
  <c r="V2059" i="4"/>
  <c r="U2059" i="4"/>
  <c r="V2058" i="4"/>
  <c r="U2058" i="4"/>
  <c r="V2057" i="4"/>
  <c r="U2057" i="4"/>
  <c r="V2056" i="4"/>
  <c r="U2056" i="4"/>
  <c r="V2055" i="4"/>
  <c r="U2055" i="4"/>
  <c r="V2054" i="4"/>
  <c r="U2054" i="4"/>
  <c r="V2053" i="4"/>
  <c r="U2053" i="4"/>
  <c r="V2052" i="4"/>
  <c r="U2052" i="4"/>
  <c r="V2051" i="4"/>
  <c r="U2051" i="4"/>
  <c r="V2050" i="4"/>
  <c r="U2050" i="4"/>
  <c r="V2049" i="4"/>
  <c r="U2049" i="4"/>
  <c r="V2048" i="4"/>
  <c r="U2048" i="4"/>
  <c r="V2047" i="4"/>
  <c r="U2047" i="4"/>
  <c r="V2046" i="4"/>
  <c r="U2046" i="4"/>
  <c r="V2045" i="4"/>
  <c r="U2045" i="4"/>
  <c r="V2044" i="4"/>
  <c r="U2044" i="4"/>
  <c r="V2043" i="4"/>
  <c r="U2043" i="4"/>
  <c r="V2042" i="4"/>
  <c r="U2042" i="4"/>
  <c r="V2041" i="4"/>
  <c r="U2041" i="4"/>
  <c r="V2040" i="4"/>
  <c r="U2040" i="4"/>
  <c r="V2039" i="4"/>
  <c r="U2039" i="4"/>
  <c r="V2038" i="4"/>
  <c r="U2038" i="4"/>
  <c r="V2037" i="4"/>
  <c r="U2037" i="4"/>
  <c r="V2036" i="4"/>
  <c r="U2036" i="4"/>
  <c r="V2035" i="4"/>
  <c r="U2035" i="4"/>
  <c r="V2034" i="4"/>
  <c r="U2034" i="4"/>
  <c r="V2033" i="4"/>
  <c r="U2033" i="4"/>
  <c r="V2032" i="4"/>
  <c r="U2032" i="4"/>
  <c r="V2031" i="4"/>
  <c r="U2031" i="4"/>
  <c r="V2030" i="4"/>
  <c r="U2030" i="4"/>
  <c r="V2029" i="4"/>
  <c r="U2029" i="4"/>
  <c r="V2028" i="4"/>
  <c r="U2028" i="4"/>
  <c r="V2027" i="4"/>
  <c r="U2027" i="4"/>
  <c r="V2026" i="4"/>
  <c r="U2026" i="4"/>
  <c r="V2025" i="4"/>
  <c r="U2025" i="4"/>
  <c r="V2024" i="4"/>
  <c r="U2024" i="4"/>
  <c r="V2023" i="4"/>
  <c r="U2023" i="4"/>
  <c r="V2022" i="4"/>
  <c r="U2022" i="4"/>
  <c r="V2021" i="4"/>
  <c r="U2021" i="4"/>
  <c r="V2020" i="4"/>
  <c r="U2020" i="4"/>
  <c r="V2019" i="4"/>
  <c r="U2019" i="4"/>
  <c r="V2018" i="4"/>
  <c r="U2018" i="4"/>
  <c r="V2017" i="4"/>
  <c r="U2017" i="4"/>
  <c r="V2016" i="4"/>
  <c r="U2016" i="4"/>
  <c r="V2015" i="4"/>
  <c r="U2015" i="4"/>
  <c r="V2014" i="4"/>
  <c r="U2014" i="4"/>
  <c r="V2013" i="4"/>
  <c r="U2013" i="4"/>
  <c r="V2012" i="4"/>
  <c r="U2012" i="4"/>
  <c r="V2011" i="4"/>
  <c r="U2011" i="4"/>
  <c r="V2010" i="4"/>
  <c r="U2010" i="4"/>
  <c r="V2009" i="4"/>
  <c r="U2009" i="4"/>
  <c r="V2008" i="4"/>
  <c r="U2008" i="4"/>
  <c r="V2007" i="4"/>
  <c r="U2007" i="4"/>
  <c r="V2006" i="4"/>
  <c r="U2006" i="4"/>
  <c r="V2005" i="4"/>
  <c r="U2005" i="4"/>
  <c r="V2004" i="4"/>
  <c r="U2004" i="4"/>
  <c r="V2003" i="4"/>
  <c r="U2003" i="4"/>
  <c r="V2002" i="4"/>
  <c r="U2002" i="4"/>
  <c r="V2001" i="4"/>
  <c r="U2001" i="4"/>
  <c r="V2000" i="4"/>
  <c r="U2000" i="4"/>
  <c r="V1999" i="4"/>
  <c r="U1999" i="4"/>
  <c r="V1998" i="4"/>
  <c r="U1998" i="4"/>
  <c r="V1997" i="4"/>
  <c r="U1997" i="4"/>
  <c r="V1996" i="4"/>
  <c r="U1996" i="4"/>
  <c r="V1995" i="4"/>
  <c r="U1995" i="4"/>
  <c r="V1994" i="4"/>
  <c r="U1994" i="4"/>
  <c r="V1993" i="4"/>
  <c r="U1993" i="4"/>
  <c r="V1992" i="4"/>
  <c r="U1992" i="4"/>
  <c r="V1991" i="4"/>
  <c r="U1991" i="4"/>
  <c r="V1990" i="4"/>
  <c r="U1990" i="4"/>
  <c r="V1989" i="4"/>
  <c r="U1989" i="4"/>
  <c r="V1988" i="4"/>
  <c r="U1988" i="4"/>
  <c r="V1987" i="4"/>
  <c r="U1987" i="4"/>
  <c r="V1986" i="4"/>
  <c r="U1986" i="4"/>
  <c r="V1985" i="4"/>
  <c r="U1985" i="4"/>
  <c r="V1984" i="4"/>
  <c r="U1984" i="4"/>
  <c r="V1983" i="4"/>
  <c r="U1983" i="4"/>
  <c r="V1982" i="4"/>
  <c r="U1982" i="4"/>
  <c r="V1981" i="4"/>
  <c r="U1981" i="4"/>
  <c r="V1980" i="4"/>
  <c r="U1980" i="4"/>
  <c r="V1979" i="4"/>
  <c r="U1979" i="4"/>
  <c r="V1978" i="4"/>
  <c r="U1978" i="4"/>
  <c r="V1977" i="4"/>
  <c r="U1977" i="4"/>
  <c r="V1976" i="4"/>
  <c r="U1976" i="4"/>
  <c r="V1975" i="4"/>
  <c r="U1975" i="4"/>
  <c r="V1974" i="4"/>
  <c r="U1974" i="4"/>
  <c r="V1973" i="4"/>
  <c r="U1973" i="4"/>
  <c r="V1972" i="4"/>
  <c r="U1972" i="4"/>
  <c r="V1971" i="4"/>
  <c r="U1971" i="4"/>
  <c r="V1970" i="4"/>
  <c r="U1970" i="4"/>
  <c r="V1969" i="4"/>
  <c r="U1969" i="4"/>
  <c r="V1968" i="4"/>
  <c r="U1968" i="4"/>
  <c r="V1967" i="4"/>
  <c r="U1967" i="4"/>
  <c r="V1966" i="4"/>
  <c r="U1966" i="4"/>
  <c r="V1965" i="4"/>
  <c r="U1965" i="4"/>
  <c r="V1964" i="4"/>
  <c r="U1964" i="4"/>
  <c r="V1963" i="4"/>
  <c r="U1963" i="4"/>
  <c r="V1962" i="4"/>
  <c r="U1962" i="4"/>
  <c r="V1961" i="4"/>
  <c r="U1961" i="4"/>
  <c r="V1960" i="4"/>
  <c r="U1960" i="4"/>
  <c r="V1959" i="4"/>
  <c r="U1959" i="4"/>
  <c r="V1958" i="4"/>
  <c r="U1958" i="4"/>
  <c r="V1957" i="4"/>
  <c r="U1957" i="4"/>
  <c r="V1956" i="4"/>
  <c r="U1956" i="4"/>
  <c r="V1955" i="4"/>
  <c r="U1955" i="4"/>
  <c r="V1954" i="4"/>
  <c r="U1954" i="4"/>
  <c r="V1953" i="4"/>
  <c r="U1953" i="4"/>
  <c r="V1952" i="4"/>
  <c r="U1952" i="4"/>
  <c r="V1951" i="4"/>
  <c r="U1951" i="4"/>
  <c r="V1950" i="4"/>
  <c r="U1950" i="4"/>
  <c r="V1949" i="4"/>
  <c r="U1949" i="4"/>
  <c r="V1948" i="4"/>
  <c r="U1948" i="4"/>
  <c r="V1947" i="4"/>
  <c r="U1947" i="4"/>
  <c r="V1946" i="4"/>
  <c r="U1946" i="4"/>
  <c r="V1945" i="4"/>
  <c r="U1945" i="4"/>
  <c r="V1944" i="4"/>
  <c r="U1944" i="4"/>
  <c r="V1943" i="4"/>
  <c r="U1943" i="4"/>
  <c r="V1942" i="4"/>
  <c r="U1942" i="4"/>
  <c r="V1941" i="4"/>
  <c r="U1941" i="4"/>
  <c r="V1940" i="4"/>
  <c r="U1940" i="4"/>
  <c r="V1939" i="4"/>
  <c r="U1939" i="4"/>
  <c r="V1938" i="4"/>
  <c r="U1938" i="4"/>
  <c r="V1937" i="4"/>
  <c r="U1937" i="4"/>
  <c r="V1936" i="4"/>
  <c r="U1936" i="4"/>
  <c r="V1935" i="4"/>
  <c r="U1935" i="4"/>
  <c r="V1934" i="4"/>
  <c r="U1934" i="4"/>
  <c r="V1933" i="4"/>
  <c r="U1933" i="4"/>
  <c r="V1932" i="4"/>
  <c r="U1932" i="4"/>
  <c r="V1931" i="4"/>
  <c r="U1931" i="4"/>
  <c r="V1930" i="4"/>
  <c r="U1930" i="4"/>
  <c r="V1929" i="4"/>
  <c r="U1929" i="4"/>
  <c r="V1928" i="4"/>
  <c r="U1928" i="4"/>
  <c r="V1927" i="4"/>
  <c r="U1927" i="4"/>
  <c r="V1926" i="4"/>
  <c r="U1926" i="4"/>
  <c r="V1925" i="4"/>
  <c r="U1925" i="4"/>
  <c r="V1924" i="4"/>
  <c r="U1924" i="4"/>
  <c r="V1923" i="4"/>
  <c r="U1923" i="4"/>
  <c r="V1922" i="4"/>
  <c r="U1922" i="4"/>
  <c r="V1921" i="4"/>
  <c r="U1921" i="4"/>
  <c r="V1920" i="4"/>
  <c r="U1920" i="4"/>
  <c r="V1919" i="4"/>
  <c r="U1919" i="4"/>
  <c r="V1918" i="4"/>
  <c r="U1918" i="4"/>
  <c r="V1917" i="4"/>
  <c r="U1917" i="4"/>
  <c r="V1916" i="4"/>
  <c r="U1916" i="4"/>
  <c r="V1915" i="4"/>
  <c r="U1915" i="4"/>
  <c r="V1914" i="4"/>
  <c r="U1914" i="4"/>
  <c r="V1913" i="4"/>
  <c r="U1913" i="4"/>
  <c r="V1912" i="4"/>
  <c r="U1912" i="4"/>
  <c r="V1911" i="4"/>
  <c r="U1911" i="4"/>
  <c r="V1910" i="4"/>
  <c r="U1910" i="4"/>
  <c r="V1909" i="4"/>
  <c r="U1909" i="4"/>
  <c r="V1908" i="4"/>
  <c r="U1908" i="4"/>
  <c r="V1907" i="4"/>
  <c r="U1907" i="4"/>
  <c r="V1906" i="4"/>
  <c r="U1906" i="4"/>
  <c r="V1905" i="4"/>
  <c r="U1905" i="4"/>
  <c r="V1904" i="4"/>
  <c r="U1904" i="4"/>
  <c r="V1903" i="4"/>
  <c r="U1903" i="4"/>
  <c r="V1902" i="4"/>
  <c r="U1902" i="4"/>
  <c r="V1901" i="4"/>
  <c r="U1901" i="4"/>
  <c r="V1900" i="4"/>
  <c r="U1900" i="4"/>
  <c r="V1899" i="4"/>
  <c r="U1899" i="4"/>
  <c r="V1898" i="4"/>
  <c r="U1898" i="4"/>
  <c r="V1897" i="4"/>
  <c r="U1897" i="4"/>
  <c r="V1896" i="4"/>
  <c r="U1896" i="4"/>
  <c r="V1895" i="4"/>
  <c r="U1895" i="4"/>
  <c r="V1894" i="4"/>
  <c r="U1894" i="4"/>
  <c r="V1893" i="4"/>
  <c r="U1893" i="4"/>
  <c r="V1892" i="4"/>
  <c r="U1892" i="4"/>
  <c r="V1891" i="4"/>
  <c r="U1891" i="4"/>
  <c r="V1890" i="4"/>
  <c r="U1890" i="4"/>
  <c r="V1889" i="4"/>
  <c r="U1889" i="4"/>
  <c r="V1888" i="4"/>
  <c r="U1888" i="4"/>
  <c r="V1887" i="4"/>
  <c r="U1887" i="4"/>
  <c r="V1886" i="4"/>
  <c r="U1886" i="4"/>
  <c r="V1885" i="4"/>
  <c r="U1885" i="4"/>
  <c r="V1884" i="4"/>
  <c r="U1884" i="4"/>
  <c r="V1883" i="4"/>
  <c r="U1883" i="4"/>
  <c r="V1882" i="4"/>
  <c r="U1882" i="4"/>
  <c r="V1881" i="4"/>
  <c r="U1881" i="4"/>
  <c r="V1880" i="4"/>
  <c r="U1880" i="4"/>
  <c r="V1879" i="4"/>
  <c r="U1879" i="4"/>
  <c r="V1878" i="4"/>
  <c r="U1878" i="4"/>
  <c r="V1877" i="4"/>
  <c r="U1877" i="4"/>
  <c r="V1876" i="4"/>
  <c r="U1876" i="4"/>
  <c r="V1875" i="4"/>
  <c r="U1875" i="4"/>
  <c r="V1874" i="4"/>
  <c r="U1874" i="4"/>
  <c r="V1873" i="4"/>
  <c r="U1873" i="4"/>
  <c r="V1872" i="4"/>
  <c r="U1872" i="4"/>
  <c r="V1871" i="4"/>
  <c r="U1871" i="4"/>
  <c r="V1870" i="4"/>
  <c r="U1870" i="4"/>
  <c r="V1869" i="4"/>
  <c r="U1869" i="4"/>
  <c r="V1868" i="4"/>
  <c r="U1868" i="4"/>
  <c r="V1867" i="4"/>
  <c r="U1867" i="4"/>
  <c r="V1866" i="4"/>
  <c r="U1866" i="4"/>
  <c r="V1865" i="4"/>
  <c r="U1865" i="4"/>
  <c r="V1864" i="4"/>
  <c r="U1864" i="4"/>
  <c r="V1863" i="4"/>
  <c r="U1863" i="4"/>
  <c r="V1862" i="4"/>
  <c r="U1862" i="4"/>
  <c r="V1861" i="4"/>
  <c r="U1861" i="4"/>
  <c r="V1860" i="4"/>
  <c r="U1860" i="4"/>
  <c r="V1859" i="4"/>
  <c r="U1859" i="4"/>
  <c r="V1858" i="4"/>
  <c r="U1858" i="4"/>
  <c r="V1857" i="4"/>
  <c r="U1857" i="4"/>
  <c r="V1856" i="4"/>
  <c r="U1856" i="4"/>
  <c r="V1855" i="4"/>
  <c r="U1855" i="4"/>
  <c r="V1854" i="4"/>
  <c r="U1854" i="4"/>
  <c r="V1853" i="4"/>
  <c r="U1853" i="4"/>
  <c r="V1852" i="4"/>
  <c r="U1852" i="4"/>
  <c r="V1851" i="4"/>
  <c r="U1851" i="4"/>
  <c r="V1850" i="4"/>
  <c r="U1850" i="4"/>
  <c r="V1849" i="4"/>
  <c r="U1849" i="4"/>
  <c r="V1848" i="4"/>
  <c r="U1848" i="4"/>
  <c r="V1847" i="4"/>
  <c r="U1847" i="4"/>
  <c r="V1846" i="4"/>
  <c r="U1846" i="4"/>
  <c r="V1845" i="4"/>
  <c r="U1845" i="4"/>
  <c r="V1844" i="4"/>
  <c r="U1844" i="4"/>
  <c r="V1843" i="4"/>
  <c r="U1843" i="4"/>
  <c r="V1842" i="4"/>
  <c r="U1842" i="4"/>
  <c r="V1841" i="4"/>
  <c r="U1841" i="4"/>
  <c r="V1840" i="4"/>
  <c r="U1840" i="4"/>
  <c r="V1839" i="4"/>
  <c r="U1839" i="4"/>
  <c r="V1838" i="4"/>
  <c r="U1838" i="4"/>
  <c r="V1837" i="4"/>
  <c r="U1837" i="4"/>
  <c r="V1836" i="4"/>
  <c r="U1836" i="4"/>
  <c r="V1835" i="4"/>
  <c r="U1835" i="4"/>
  <c r="V1834" i="4"/>
  <c r="U1834" i="4"/>
  <c r="V1833" i="4"/>
  <c r="U1833" i="4"/>
  <c r="V1832" i="4"/>
  <c r="U1832" i="4"/>
  <c r="V1831" i="4"/>
  <c r="U1831" i="4"/>
  <c r="V1830" i="4"/>
  <c r="U1830" i="4"/>
  <c r="V1829" i="4"/>
  <c r="U1829" i="4"/>
  <c r="V1828" i="4"/>
  <c r="U1828" i="4"/>
  <c r="V1827" i="4"/>
  <c r="U1827" i="4"/>
  <c r="V1826" i="4"/>
  <c r="U1826" i="4"/>
  <c r="V1825" i="4"/>
  <c r="U1825" i="4"/>
  <c r="V1824" i="4"/>
  <c r="U1824" i="4"/>
  <c r="V1823" i="4"/>
  <c r="U1823" i="4"/>
  <c r="V1822" i="4"/>
  <c r="U1822" i="4"/>
  <c r="V1821" i="4"/>
  <c r="U1821" i="4"/>
  <c r="V1820" i="4"/>
  <c r="U1820" i="4"/>
  <c r="V1819" i="4"/>
  <c r="U1819" i="4"/>
  <c r="V1818" i="4"/>
  <c r="U1818" i="4"/>
  <c r="V1817" i="4"/>
  <c r="U1817" i="4"/>
  <c r="V1816" i="4"/>
  <c r="U1816" i="4"/>
  <c r="V1815" i="4"/>
  <c r="U1815" i="4"/>
  <c r="V1814" i="4"/>
  <c r="U1814" i="4"/>
  <c r="V1813" i="4"/>
  <c r="U1813" i="4"/>
  <c r="V1812" i="4"/>
  <c r="U1812" i="4"/>
  <c r="V1811" i="4"/>
  <c r="U1811" i="4"/>
  <c r="V1810" i="4"/>
  <c r="U1810" i="4"/>
  <c r="V1809" i="4"/>
  <c r="U1809" i="4"/>
  <c r="V1808" i="4"/>
  <c r="U1808" i="4"/>
  <c r="V1807" i="4"/>
  <c r="U1807" i="4"/>
  <c r="V1806" i="4"/>
  <c r="U1806" i="4"/>
  <c r="V1805" i="4"/>
  <c r="U1805" i="4"/>
  <c r="V1804" i="4"/>
  <c r="U1804" i="4"/>
  <c r="V1803" i="4"/>
  <c r="U1803" i="4"/>
  <c r="V1802" i="4"/>
  <c r="U1802" i="4"/>
  <c r="V1801" i="4"/>
  <c r="U1801" i="4"/>
  <c r="V1800" i="4"/>
  <c r="U1800" i="4"/>
  <c r="V1799" i="4"/>
  <c r="U1799" i="4"/>
  <c r="V1798" i="4"/>
  <c r="U1798" i="4"/>
  <c r="V1797" i="4"/>
  <c r="U1797" i="4"/>
  <c r="V1796" i="4"/>
  <c r="U1796" i="4"/>
  <c r="V1795" i="4"/>
  <c r="U1795" i="4"/>
  <c r="V1794" i="4"/>
  <c r="U1794" i="4"/>
  <c r="V1793" i="4"/>
  <c r="U1793" i="4"/>
  <c r="V1792" i="4"/>
  <c r="U1792" i="4"/>
  <c r="V1791" i="4"/>
  <c r="U1791" i="4"/>
  <c r="V1790" i="4"/>
  <c r="U1790" i="4"/>
  <c r="V1789" i="4"/>
  <c r="U1789" i="4"/>
  <c r="V1788" i="4"/>
  <c r="U1788" i="4"/>
  <c r="V1787" i="4"/>
  <c r="U1787" i="4"/>
  <c r="V1786" i="4"/>
  <c r="U1786" i="4"/>
  <c r="V1785" i="4"/>
  <c r="U1785" i="4"/>
  <c r="V1784" i="4"/>
  <c r="U1784" i="4"/>
  <c r="V1783" i="4"/>
  <c r="U1783" i="4"/>
  <c r="V1782" i="4"/>
  <c r="U1782" i="4"/>
  <c r="V1781" i="4"/>
  <c r="U1781" i="4"/>
  <c r="V1780" i="4"/>
  <c r="U1780" i="4"/>
  <c r="V1779" i="4"/>
  <c r="U1779" i="4"/>
  <c r="V1778" i="4"/>
  <c r="U1778" i="4"/>
  <c r="V1777" i="4"/>
  <c r="U1777" i="4"/>
  <c r="V1776" i="4"/>
  <c r="U1776" i="4"/>
  <c r="V1775" i="4"/>
  <c r="U1775" i="4"/>
  <c r="V1774" i="4"/>
  <c r="U1774" i="4"/>
  <c r="V1773" i="4"/>
  <c r="U1773" i="4"/>
  <c r="V1772" i="4"/>
  <c r="U1772" i="4"/>
  <c r="V1771" i="4"/>
  <c r="U1771" i="4"/>
  <c r="V1770" i="4"/>
  <c r="U1770" i="4"/>
  <c r="V1769" i="4"/>
  <c r="U1769" i="4"/>
  <c r="V1768" i="4"/>
  <c r="U1768" i="4"/>
  <c r="V1767" i="4"/>
  <c r="U1767" i="4"/>
  <c r="V1766" i="4"/>
  <c r="U1766" i="4"/>
  <c r="V1765" i="4"/>
  <c r="U1765" i="4"/>
  <c r="V1764" i="4"/>
  <c r="U1764" i="4"/>
  <c r="V1763" i="4"/>
  <c r="U1763" i="4"/>
  <c r="V1762" i="4"/>
  <c r="U1762" i="4"/>
  <c r="V1761" i="4"/>
  <c r="U1761" i="4"/>
  <c r="V1760" i="4"/>
  <c r="U1760" i="4"/>
  <c r="V1759" i="4"/>
  <c r="U1759" i="4"/>
  <c r="V1758" i="4"/>
  <c r="U1758" i="4"/>
  <c r="V1757" i="4"/>
  <c r="U1757" i="4"/>
  <c r="V1756" i="4"/>
  <c r="U1756" i="4"/>
  <c r="V1755" i="4"/>
  <c r="U1755" i="4"/>
  <c r="V1754" i="4"/>
  <c r="U1754" i="4"/>
  <c r="V1753" i="4"/>
  <c r="U1753" i="4"/>
  <c r="V1752" i="4"/>
  <c r="U1752" i="4"/>
  <c r="V1751" i="4"/>
  <c r="U1751" i="4"/>
  <c r="V1750" i="4"/>
  <c r="U1750" i="4"/>
  <c r="V1749" i="4"/>
  <c r="U1749" i="4"/>
  <c r="V1748" i="4"/>
  <c r="U1748" i="4"/>
  <c r="V1747" i="4"/>
  <c r="U1747" i="4"/>
  <c r="V1746" i="4"/>
  <c r="U1746" i="4"/>
  <c r="V1745" i="4"/>
  <c r="U1745" i="4"/>
  <c r="V1744" i="4"/>
  <c r="U1744" i="4"/>
  <c r="V1743" i="4"/>
  <c r="U1743" i="4"/>
  <c r="V1742" i="4"/>
  <c r="U1742" i="4"/>
  <c r="V1741" i="4"/>
  <c r="U1741" i="4"/>
  <c r="V1740" i="4"/>
  <c r="U1740" i="4"/>
  <c r="V1739" i="4"/>
  <c r="U1739" i="4"/>
  <c r="V1738" i="4"/>
  <c r="U1738" i="4"/>
  <c r="V1737" i="4"/>
  <c r="U1737" i="4"/>
  <c r="V1736" i="4"/>
  <c r="U1736" i="4"/>
  <c r="V1735" i="4"/>
  <c r="U1735" i="4"/>
  <c r="V1734" i="4"/>
  <c r="U1734" i="4"/>
  <c r="V1733" i="4"/>
  <c r="U1733" i="4"/>
  <c r="V1732" i="4"/>
  <c r="U1732" i="4"/>
  <c r="V1731" i="4"/>
  <c r="U1731" i="4"/>
  <c r="V1730" i="4"/>
  <c r="U1730" i="4"/>
  <c r="V1729" i="4"/>
  <c r="U1729" i="4"/>
  <c r="V1728" i="4"/>
  <c r="U1728" i="4"/>
  <c r="V1727" i="4"/>
  <c r="U1727" i="4"/>
  <c r="V1726" i="4"/>
  <c r="U1726" i="4"/>
  <c r="V1725" i="4"/>
  <c r="U1725" i="4"/>
  <c r="V1724" i="4"/>
  <c r="U1724" i="4"/>
  <c r="V1723" i="4"/>
  <c r="U1723" i="4"/>
  <c r="V1722" i="4"/>
  <c r="U1722" i="4"/>
  <c r="V1721" i="4"/>
  <c r="U1721" i="4"/>
  <c r="V1720" i="4"/>
  <c r="U1720" i="4"/>
  <c r="V1719" i="4"/>
  <c r="U1719" i="4"/>
  <c r="V1718" i="4"/>
  <c r="U1718" i="4"/>
  <c r="V1717" i="4"/>
  <c r="U1717" i="4"/>
  <c r="V1716" i="4"/>
  <c r="U1716" i="4"/>
  <c r="V1715" i="4"/>
  <c r="U1715" i="4"/>
  <c r="V1714" i="4"/>
  <c r="U1714" i="4"/>
  <c r="V1713" i="4"/>
  <c r="U1713" i="4"/>
  <c r="V1712" i="4"/>
  <c r="U1712" i="4"/>
  <c r="V1711" i="4"/>
  <c r="U1711" i="4"/>
  <c r="V1710" i="4"/>
  <c r="U1710" i="4"/>
  <c r="V1709" i="4"/>
  <c r="U1709" i="4"/>
  <c r="V1708" i="4"/>
  <c r="U1708" i="4"/>
  <c r="V1707" i="4"/>
  <c r="U1707" i="4"/>
  <c r="V1706" i="4"/>
  <c r="U1706" i="4"/>
  <c r="V1705" i="4"/>
  <c r="U1705" i="4"/>
  <c r="V1704" i="4"/>
  <c r="U1704" i="4"/>
  <c r="V1703" i="4"/>
  <c r="U1703" i="4"/>
  <c r="V1702" i="4"/>
  <c r="U1702" i="4"/>
  <c r="V1701" i="4"/>
  <c r="U1701" i="4"/>
  <c r="V1700" i="4"/>
  <c r="U1700" i="4"/>
  <c r="V1699" i="4"/>
  <c r="U1699" i="4"/>
  <c r="V1698" i="4"/>
  <c r="U1698" i="4"/>
  <c r="V1697" i="4"/>
  <c r="U1697" i="4"/>
  <c r="V1696" i="4"/>
  <c r="U1696" i="4"/>
  <c r="V1695" i="4"/>
  <c r="U1695" i="4"/>
  <c r="V1694" i="4"/>
  <c r="U1694" i="4"/>
  <c r="V1693" i="4"/>
  <c r="U1693" i="4"/>
  <c r="V1692" i="4"/>
  <c r="U1692" i="4"/>
  <c r="V1691" i="4"/>
  <c r="U1691" i="4"/>
  <c r="V1690" i="4"/>
  <c r="U1690" i="4"/>
  <c r="V1689" i="4"/>
  <c r="U1689" i="4"/>
  <c r="V1688" i="4"/>
  <c r="U1688" i="4"/>
  <c r="V1687" i="4"/>
  <c r="U1687" i="4"/>
  <c r="V1686" i="4"/>
  <c r="U1686" i="4"/>
  <c r="V1685" i="4"/>
  <c r="U1685" i="4"/>
  <c r="V1684" i="4"/>
  <c r="U1684" i="4"/>
  <c r="V1683" i="4"/>
  <c r="U1683" i="4"/>
  <c r="V1682" i="4"/>
  <c r="U1682" i="4"/>
  <c r="V1681" i="4"/>
  <c r="U1681" i="4"/>
  <c r="V1680" i="4"/>
  <c r="U1680" i="4"/>
  <c r="V1679" i="4"/>
  <c r="U1679" i="4"/>
  <c r="V1678" i="4"/>
  <c r="U1678" i="4"/>
  <c r="V1677" i="4"/>
  <c r="U1677" i="4"/>
  <c r="V1676" i="4"/>
  <c r="U1676" i="4"/>
  <c r="V1675" i="4"/>
  <c r="U1675" i="4"/>
  <c r="V1674" i="4"/>
  <c r="U1674" i="4"/>
  <c r="V1673" i="4"/>
  <c r="U1673" i="4"/>
  <c r="V1672" i="4"/>
  <c r="U1672" i="4"/>
  <c r="V1671" i="4"/>
  <c r="U1671" i="4"/>
  <c r="V1670" i="4"/>
  <c r="U1670" i="4"/>
  <c r="V1669" i="4"/>
  <c r="U1669" i="4"/>
  <c r="V1668" i="4"/>
  <c r="U1668" i="4"/>
  <c r="V1667" i="4"/>
  <c r="U1667" i="4"/>
  <c r="V1666" i="4"/>
  <c r="U1666" i="4"/>
  <c r="V1665" i="4"/>
  <c r="U1665" i="4"/>
  <c r="V1664" i="4"/>
  <c r="U1664" i="4"/>
  <c r="V1663" i="4"/>
  <c r="U1663" i="4"/>
  <c r="V1662" i="4"/>
  <c r="U1662" i="4"/>
  <c r="V1661" i="4"/>
  <c r="U1661" i="4"/>
  <c r="V1660" i="4"/>
  <c r="U1660" i="4"/>
  <c r="V1659" i="4"/>
  <c r="U1659" i="4"/>
  <c r="V1658" i="4"/>
  <c r="U1658" i="4"/>
  <c r="V1657" i="4"/>
  <c r="U1657" i="4"/>
  <c r="V1656" i="4"/>
  <c r="U1656" i="4"/>
  <c r="V1655" i="4"/>
  <c r="U1655" i="4"/>
  <c r="V1654" i="4"/>
  <c r="U1654" i="4"/>
  <c r="V1653" i="4"/>
  <c r="U1653" i="4"/>
  <c r="V1652" i="4"/>
  <c r="U1652" i="4"/>
  <c r="V1651" i="4"/>
  <c r="U1651" i="4"/>
  <c r="V1650" i="4"/>
  <c r="U1650" i="4"/>
  <c r="V1649" i="4"/>
  <c r="U1649" i="4"/>
  <c r="V1648" i="4"/>
  <c r="U1648" i="4"/>
  <c r="V1647" i="4"/>
  <c r="U1647" i="4"/>
  <c r="V1646" i="4"/>
  <c r="U1646" i="4"/>
  <c r="V1645" i="4"/>
  <c r="U1645" i="4"/>
  <c r="V1644" i="4"/>
  <c r="U1644" i="4"/>
  <c r="V1643" i="4"/>
  <c r="U1643" i="4"/>
  <c r="V1642" i="4"/>
  <c r="U1642" i="4"/>
  <c r="V1641" i="4"/>
  <c r="U1641" i="4"/>
  <c r="V1640" i="4"/>
  <c r="U1640" i="4"/>
  <c r="V1639" i="4"/>
  <c r="U1639" i="4"/>
  <c r="V1638" i="4"/>
  <c r="U1638" i="4"/>
  <c r="V1637" i="4"/>
  <c r="U1637" i="4"/>
  <c r="V1636" i="4"/>
  <c r="U1636" i="4"/>
  <c r="V1635" i="4"/>
  <c r="U1635" i="4"/>
  <c r="V1634" i="4"/>
  <c r="U1634" i="4"/>
  <c r="V1633" i="4"/>
  <c r="U1633" i="4"/>
  <c r="V1632" i="4"/>
  <c r="U1632" i="4"/>
  <c r="V1631" i="4"/>
  <c r="U1631" i="4"/>
  <c r="V1630" i="4"/>
  <c r="U1630" i="4"/>
  <c r="V1629" i="4"/>
  <c r="U1629" i="4"/>
  <c r="V1628" i="4"/>
  <c r="U1628" i="4"/>
  <c r="V1627" i="4"/>
  <c r="U1627" i="4"/>
  <c r="V1626" i="4"/>
  <c r="U1626" i="4"/>
  <c r="V1625" i="4"/>
  <c r="U1625" i="4"/>
  <c r="V1624" i="4"/>
  <c r="U1624" i="4"/>
  <c r="V1623" i="4"/>
  <c r="U1623" i="4"/>
  <c r="V1622" i="4"/>
  <c r="U1622" i="4"/>
  <c r="V1621" i="4"/>
  <c r="U1621" i="4"/>
  <c r="V1620" i="4"/>
  <c r="U1620" i="4"/>
  <c r="V1619" i="4"/>
  <c r="U1619" i="4"/>
  <c r="V1618" i="4"/>
  <c r="U1618" i="4"/>
  <c r="V1617" i="4"/>
  <c r="U1617" i="4"/>
  <c r="V1616" i="4"/>
  <c r="U1616" i="4"/>
  <c r="V1615" i="4"/>
  <c r="U1615" i="4"/>
  <c r="V1614" i="4"/>
  <c r="U1614" i="4"/>
  <c r="V1613" i="4"/>
  <c r="U1613" i="4"/>
  <c r="V1612" i="4"/>
  <c r="U1612" i="4"/>
  <c r="V1611" i="4"/>
  <c r="U1611" i="4"/>
  <c r="V1610" i="4"/>
  <c r="U1610" i="4"/>
  <c r="V1609" i="4"/>
  <c r="U1609" i="4"/>
  <c r="V1608" i="4"/>
  <c r="U1608" i="4"/>
  <c r="V1607" i="4"/>
  <c r="U1607" i="4"/>
  <c r="V1606" i="4"/>
  <c r="U1606" i="4"/>
  <c r="V1605" i="4"/>
  <c r="U1605" i="4"/>
  <c r="V1604" i="4"/>
  <c r="U1604" i="4"/>
  <c r="V1603" i="4"/>
  <c r="U1603" i="4"/>
  <c r="V1602" i="4"/>
  <c r="U1602" i="4"/>
  <c r="V1601" i="4"/>
  <c r="U1601" i="4"/>
  <c r="V1600" i="4"/>
  <c r="U1600" i="4"/>
  <c r="V1599" i="4"/>
  <c r="U1599" i="4"/>
  <c r="V1598" i="4"/>
  <c r="U1598" i="4"/>
  <c r="V1597" i="4"/>
  <c r="U1597" i="4"/>
  <c r="V1596" i="4"/>
  <c r="U1596" i="4"/>
  <c r="V1595" i="4"/>
  <c r="U1595" i="4"/>
  <c r="V1594" i="4"/>
  <c r="U1594" i="4"/>
  <c r="V1593" i="4"/>
  <c r="U1593" i="4"/>
  <c r="V1592" i="4"/>
  <c r="U1592" i="4"/>
  <c r="V1591" i="4"/>
  <c r="U1591" i="4"/>
  <c r="V1590" i="4"/>
  <c r="U1590" i="4"/>
  <c r="V1589" i="4"/>
  <c r="U1589" i="4"/>
  <c r="V1588" i="4"/>
  <c r="U1588" i="4"/>
  <c r="V1587" i="4"/>
  <c r="U1587" i="4"/>
  <c r="V1586" i="4"/>
  <c r="U1586" i="4"/>
  <c r="V1585" i="4"/>
  <c r="U1585" i="4"/>
  <c r="V1584" i="4"/>
  <c r="U1584" i="4"/>
  <c r="V1583" i="4"/>
  <c r="U1583" i="4"/>
  <c r="V1582" i="4"/>
  <c r="U1582" i="4"/>
  <c r="V1581" i="4"/>
  <c r="U1581" i="4"/>
  <c r="V1580" i="4"/>
  <c r="U1580" i="4"/>
  <c r="V1579" i="4"/>
  <c r="U1579" i="4"/>
  <c r="V1578" i="4"/>
  <c r="U1578" i="4"/>
  <c r="V1577" i="4"/>
  <c r="U1577" i="4"/>
  <c r="V1576" i="4"/>
  <c r="U1576" i="4"/>
  <c r="V1575" i="4"/>
  <c r="U1575" i="4"/>
  <c r="V1574" i="4"/>
  <c r="U1574" i="4"/>
  <c r="V1573" i="4"/>
  <c r="U1573" i="4"/>
  <c r="V1572" i="4"/>
  <c r="U1572" i="4"/>
  <c r="V1571" i="4"/>
  <c r="U1571" i="4"/>
  <c r="V1570" i="4"/>
  <c r="U1570" i="4"/>
  <c r="V1569" i="4"/>
  <c r="U1569" i="4"/>
  <c r="V1568" i="4"/>
  <c r="U1568" i="4"/>
  <c r="V1567" i="4"/>
  <c r="U1567" i="4"/>
  <c r="V1566" i="4"/>
  <c r="U1566" i="4"/>
  <c r="V1565" i="4"/>
  <c r="U1565" i="4"/>
  <c r="V1564" i="4"/>
  <c r="U1564" i="4"/>
  <c r="V1563" i="4"/>
  <c r="U1563" i="4"/>
  <c r="V1562" i="4"/>
  <c r="U1562" i="4"/>
  <c r="V1561" i="4"/>
  <c r="U1561" i="4"/>
  <c r="V1560" i="4"/>
  <c r="U1560" i="4"/>
  <c r="V1559" i="4"/>
  <c r="U1559" i="4"/>
  <c r="V1558" i="4"/>
  <c r="U1558" i="4"/>
  <c r="V1557" i="4"/>
  <c r="U1557" i="4"/>
  <c r="V1556" i="4"/>
  <c r="U1556" i="4"/>
  <c r="V1555" i="4"/>
  <c r="U1555" i="4"/>
  <c r="V1554" i="4"/>
  <c r="U1554" i="4"/>
  <c r="V1553" i="4"/>
  <c r="U1553" i="4"/>
  <c r="V1552" i="4"/>
  <c r="U1552" i="4"/>
  <c r="V1551" i="4"/>
  <c r="U1551" i="4"/>
  <c r="V1550" i="4"/>
  <c r="U1550" i="4"/>
  <c r="V1549" i="4"/>
  <c r="U1549" i="4"/>
  <c r="V1548" i="4"/>
  <c r="U1548" i="4"/>
  <c r="V1547" i="4"/>
  <c r="U1547" i="4"/>
  <c r="V1546" i="4"/>
  <c r="U1546" i="4"/>
  <c r="V1545" i="4"/>
  <c r="U1545" i="4"/>
  <c r="V1544" i="4"/>
  <c r="U1544" i="4"/>
  <c r="V1543" i="4"/>
  <c r="U1543" i="4"/>
  <c r="V1542" i="4"/>
  <c r="U1542" i="4"/>
  <c r="V1541" i="4"/>
  <c r="U1541" i="4"/>
  <c r="V1540" i="4"/>
  <c r="U1540" i="4"/>
  <c r="V1539" i="4"/>
  <c r="U1539" i="4"/>
  <c r="V1538" i="4"/>
  <c r="U1538" i="4"/>
  <c r="V1537" i="4"/>
  <c r="U1537" i="4"/>
  <c r="V1536" i="4"/>
  <c r="U1536" i="4"/>
  <c r="V1535" i="4"/>
  <c r="U1535" i="4"/>
  <c r="V1534" i="4"/>
  <c r="U1534" i="4"/>
  <c r="V1533" i="4"/>
  <c r="U1533" i="4"/>
  <c r="V1532" i="4"/>
  <c r="U1532" i="4"/>
  <c r="V1531" i="4"/>
  <c r="U1531" i="4"/>
  <c r="V1530" i="4"/>
  <c r="U1530" i="4"/>
  <c r="V1529" i="4"/>
  <c r="U1529" i="4"/>
  <c r="V1528" i="4"/>
  <c r="U1528" i="4"/>
  <c r="V1527" i="4"/>
  <c r="U1527" i="4"/>
  <c r="V1526" i="4"/>
  <c r="U1526" i="4"/>
  <c r="V1525" i="4"/>
  <c r="U1525" i="4"/>
  <c r="V1524" i="4"/>
  <c r="U1524" i="4"/>
  <c r="V1523" i="4"/>
  <c r="U1523" i="4"/>
  <c r="V1522" i="4"/>
  <c r="U1522" i="4"/>
  <c r="V1521" i="4"/>
  <c r="U1521" i="4"/>
  <c r="V1520" i="4"/>
  <c r="U1520" i="4"/>
  <c r="V1519" i="4"/>
  <c r="U1519" i="4"/>
  <c r="V1518" i="4"/>
  <c r="U1518" i="4"/>
  <c r="V1517" i="4"/>
  <c r="U1517" i="4"/>
  <c r="V1516" i="4"/>
  <c r="U1516" i="4"/>
  <c r="V1515" i="4"/>
  <c r="U1515" i="4"/>
  <c r="V1514" i="4"/>
  <c r="U1514" i="4"/>
  <c r="V1513" i="4"/>
  <c r="U1513" i="4"/>
  <c r="V1512" i="4"/>
  <c r="U1512" i="4"/>
  <c r="V1511" i="4"/>
  <c r="U1511" i="4"/>
  <c r="V1510" i="4"/>
  <c r="U1510" i="4"/>
  <c r="V1509" i="4"/>
  <c r="U1509" i="4"/>
  <c r="V1508" i="4"/>
  <c r="U1508" i="4"/>
  <c r="V1507" i="4"/>
  <c r="U1507" i="4"/>
  <c r="V1506" i="4"/>
  <c r="U1506" i="4"/>
  <c r="V1505" i="4"/>
  <c r="U1505" i="4"/>
  <c r="V1504" i="4"/>
  <c r="U1504" i="4"/>
  <c r="V1503" i="4"/>
  <c r="U1503" i="4"/>
  <c r="V1502" i="4"/>
  <c r="U1502" i="4"/>
  <c r="V1501" i="4"/>
  <c r="U1501" i="4"/>
  <c r="V1500" i="4"/>
  <c r="U1500" i="4"/>
  <c r="V1499" i="4"/>
  <c r="U1499" i="4"/>
  <c r="V1498" i="4"/>
  <c r="U1498" i="4"/>
  <c r="V1497" i="4"/>
  <c r="U1497" i="4"/>
  <c r="V1496" i="4"/>
  <c r="U1496" i="4"/>
  <c r="V1495" i="4"/>
  <c r="U1495" i="4"/>
  <c r="V1494" i="4"/>
  <c r="U1494" i="4"/>
  <c r="V1493" i="4"/>
  <c r="U1493" i="4"/>
  <c r="V1492" i="4"/>
  <c r="U1492" i="4"/>
  <c r="V1491" i="4"/>
  <c r="U1491" i="4"/>
  <c r="V1490" i="4"/>
  <c r="U1490" i="4"/>
  <c r="V1489" i="4"/>
  <c r="U1489" i="4"/>
  <c r="V1488" i="4"/>
  <c r="U1488" i="4"/>
  <c r="V1487" i="4"/>
  <c r="U1487" i="4"/>
  <c r="V1486" i="4"/>
  <c r="U1486" i="4"/>
  <c r="V1485" i="4"/>
  <c r="U1485" i="4"/>
  <c r="V1484" i="4"/>
  <c r="U1484" i="4"/>
  <c r="V1483" i="4"/>
  <c r="U1483" i="4"/>
  <c r="V1482" i="4"/>
  <c r="U1482" i="4"/>
  <c r="V1481" i="4"/>
  <c r="U1481" i="4"/>
  <c r="V1480" i="4"/>
  <c r="U1480" i="4"/>
  <c r="V1479" i="4"/>
  <c r="U1479" i="4"/>
  <c r="V1478" i="4"/>
  <c r="U1478" i="4"/>
  <c r="V1477" i="4"/>
  <c r="U1477" i="4"/>
  <c r="V1476" i="4"/>
  <c r="U1476" i="4"/>
  <c r="V1475" i="4"/>
  <c r="U1475" i="4"/>
  <c r="V1474" i="4"/>
  <c r="U1474" i="4"/>
  <c r="V1473" i="4"/>
  <c r="U1473" i="4"/>
  <c r="V1472" i="4"/>
  <c r="U1472" i="4"/>
  <c r="V1471" i="4"/>
  <c r="U1471" i="4"/>
  <c r="V1470" i="4"/>
  <c r="U1470" i="4"/>
  <c r="V1469" i="4"/>
  <c r="U1469" i="4"/>
  <c r="V1468" i="4"/>
  <c r="U1468" i="4"/>
  <c r="V1467" i="4"/>
  <c r="U1467" i="4"/>
  <c r="V1466" i="4"/>
  <c r="U1466" i="4"/>
  <c r="V1465" i="4"/>
  <c r="U1465" i="4"/>
  <c r="V1464" i="4"/>
  <c r="U1464" i="4"/>
  <c r="V1463" i="4"/>
  <c r="U1463" i="4"/>
  <c r="V1462" i="4"/>
  <c r="U1462" i="4"/>
  <c r="V1461" i="4"/>
  <c r="U1461" i="4"/>
  <c r="V1460" i="4"/>
  <c r="U1460" i="4"/>
  <c r="V1459" i="4"/>
  <c r="U1459" i="4"/>
  <c r="V1458" i="4"/>
  <c r="U1458" i="4"/>
  <c r="V1457" i="4"/>
  <c r="U1457" i="4"/>
  <c r="V1456" i="4"/>
  <c r="U1456" i="4"/>
  <c r="V1455" i="4"/>
  <c r="U1455" i="4"/>
  <c r="V1454" i="4"/>
  <c r="U1454" i="4"/>
  <c r="V1453" i="4"/>
  <c r="U1453" i="4"/>
  <c r="V1452" i="4"/>
  <c r="U1452" i="4"/>
  <c r="V1451" i="4"/>
  <c r="U1451" i="4"/>
  <c r="V1450" i="4"/>
  <c r="U1450" i="4"/>
  <c r="V1449" i="4"/>
  <c r="U1449" i="4"/>
  <c r="V1448" i="4"/>
  <c r="U1448" i="4"/>
  <c r="V1447" i="4"/>
  <c r="U1447" i="4"/>
  <c r="V1446" i="4"/>
  <c r="U1446" i="4"/>
  <c r="V1445" i="4"/>
  <c r="U1445" i="4"/>
  <c r="V1444" i="4"/>
  <c r="U1444" i="4"/>
  <c r="V1443" i="4"/>
  <c r="U1443" i="4"/>
  <c r="V1442" i="4"/>
  <c r="U1442" i="4"/>
  <c r="V1441" i="4"/>
  <c r="U1441" i="4"/>
  <c r="V1440" i="4"/>
  <c r="U1440" i="4"/>
  <c r="V1439" i="4"/>
  <c r="U1439" i="4"/>
  <c r="V1438" i="4"/>
  <c r="U1438" i="4"/>
  <c r="V1437" i="4"/>
  <c r="U1437" i="4"/>
  <c r="V1436" i="4"/>
  <c r="U1436" i="4"/>
  <c r="V1435" i="4"/>
  <c r="U1435" i="4"/>
  <c r="V1434" i="4"/>
  <c r="U1434" i="4"/>
  <c r="V1433" i="4"/>
  <c r="U1433" i="4"/>
  <c r="V1432" i="4"/>
  <c r="U1432" i="4"/>
  <c r="V1431" i="4"/>
  <c r="U1431" i="4"/>
  <c r="V1430" i="4"/>
  <c r="U1430" i="4"/>
  <c r="V1429" i="4"/>
  <c r="U1429" i="4"/>
  <c r="V1428" i="4"/>
  <c r="U1428" i="4"/>
  <c r="V1427" i="4"/>
  <c r="U1427" i="4"/>
  <c r="V1426" i="4"/>
  <c r="U1426" i="4"/>
  <c r="V1425" i="4"/>
  <c r="U1425" i="4"/>
  <c r="V1424" i="4"/>
  <c r="U1424" i="4"/>
  <c r="V1423" i="4"/>
  <c r="U1423" i="4"/>
  <c r="V1422" i="4"/>
  <c r="U1422" i="4"/>
  <c r="V1421" i="4"/>
  <c r="U1421" i="4"/>
  <c r="V1420" i="4"/>
  <c r="U1420" i="4"/>
  <c r="V1419" i="4"/>
  <c r="U1419" i="4"/>
  <c r="V1418" i="4"/>
  <c r="U1418" i="4"/>
  <c r="V1417" i="4"/>
  <c r="U1417" i="4"/>
  <c r="V1416" i="4"/>
  <c r="U1416" i="4"/>
  <c r="V1415" i="4"/>
  <c r="U1415" i="4"/>
  <c r="V1414" i="4"/>
  <c r="U1414" i="4"/>
  <c r="V1413" i="4"/>
  <c r="U1413" i="4"/>
  <c r="V1412" i="4"/>
  <c r="U1412" i="4"/>
  <c r="V1411" i="4"/>
  <c r="U1411" i="4"/>
  <c r="V1410" i="4"/>
  <c r="U1410" i="4"/>
  <c r="V1409" i="4"/>
  <c r="U1409" i="4"/>
  <c r="V1408" i="4"/>
  <c r="U1408" i="4"/>
  <c r="V1407" i="4"/>
  <c r="U1407" i="4"/>
  <c r="V1406" i="4"/>
  <c r="U1406" i="4"/>
  <c r="V1405" i="4"/>
  <c r="U1405" i="4"/>
  <c r="V1404" i="4"/>
  <c r="U1404" i="4"/>
  <c r="V1403" i="4"/>
  <c r="U1403" i="4"/>
  <c r="V1402" i="4"/>
  <c r="U1402" i="4"/>
  <c r="V1401" i="4"/>
  <c r="U1401" i="4"/>
  <c r="V1400" i="4"/>
  <c r="U1400" i="4"/>
  <c r="V1399" i="4"/>
  <c r="U1399" i="4"/>
  <c r="V1398" i="4"/>
  <c r="U1398" i="4"/>
  <c r="V1397" i="4"/>
  <c r="U1397" i="4"/>
  <c r="V1396" i="4"/>
  <c r="U1396" i="4"/>
  <c r="V1395" i="4"/>
  <c r="U1395" i="4"/>
  <c r="V1394" i="4"/>
  <c r="U1394" i="4"/>
  <c r="V1393" i="4"/>
  <c r="U1393" i="4"/>
  <c r="V1392" i="4"/>
  <c r="U1392" i="4"/>
  <c r="V1391" i="4"/>
  <c r="U1391" i="4"/>
  <c r="V1390" i="4"/>
  <c r="U1390" i="4"/>
  <c r="V1389" i="4"/>
  <c r="U1389" i="4"/>
  <c r="V1388" i="4"/>
  <c r="U1388" i="4"/>
  <c r="V1387" i="4"/>
  <c r="U1387" i="4"/>
  <c r="V1386" i="4"/>
  <c r="U1386" i="4"/>
  <c r="V1385" i="4"/>
  <c r="U1385" i="4"/>
  <c r="V1384" i="4"/>
  <c r="U1384" i="4"/>
  <c r="V1383" i="4"/>
  <c r="U1383" i="4"/>
  <c r="V1382" i="4"/>
  <c r="U1382" i="4"/>
  <c r="V1381" i="4"/>
  <c r="U1381" i="4"/>
  <c r="V1380" i="4"/>
  <c r="U1380" i="4"/>
  <c r="V1379" i="4"/>
  <c r="U1379" i="4"/>
  <c r="V1378" i="4"/>
  <c r="U1378" i="4"/>
  <c r="V1377" i="4"/>
  <c r="U1377" i="4"/>
  <c r="V1376" i="4"/>
  <c r="U1376" i="4"/>
  <c r="V1375" i="4"/>
  <c r="U1375" i="4"/>
  <c r="V1374" i="4"/>
  <c r="U1374" i="4"/>
  <c r="V1373" i="4"/>
  <c r="U1373" i="4"/>
  <c r="V1372" i="4"/>
  <c r="U1372" i="4"/>
  <c r="V1371" i="4"/>
  <c r="U1371" i="4"/>
  <c r="V1370" i="4"/>
  <c r="U1370" i="4"/>
  <c r="V1369" i="4"/>
  <c r="U1369" i="4"/>
  <c r="V1368" i="4"/>
  <c r="U1368" i="4"/>
  <c r="V1367" i="4"/>
  <c r="U1367" i="4"/>
  <c r="V1366" i="4"/>
  <c r="U1366" i="4"/>
  <c r="V1365" i="4"/>
  <c r="U1365" i="4"/>
  <c r="V1364" i="4"/>
  <c r="U1364" i="4"/>
  <c r="V1363" i="4"/>
  <c r="U1363" i="4"/>
  <c r="V1362" i="4"/>
  <c r="U1362" i="4"/>
  <c r="V1361" i="4"/>
  <c r="U1361" i="4"/>
  <c r="V1360" i="4"/>
  <c r="U1360" i="4"/>
  <c r="V1359" i="4"/>
  <c r="U1359" i="4"/>
  <c r="V1358" i="4"/>
  <c r="U1358" i="4"/>
  <c r="V1357" i="4"/>
  <c r="U1357" i="4"/>
  <c r="V1356" i="4"/>
  <c r="U1356" i="4"/>
  <c r="V1355" i="4"/>
  <c r="U1355" i="4"/>
  <c r="V1354" i="4"/>
  <c r="U1354" i="4"/>
  <c r="V1353" i="4"/>
  <c r="U1353" i="4"/>
  <c r="V1352" i="4"/>
  <c r="U1352" i="4"/>
  <c r="V1351" i="4"/>
  <c r="U1351" i="4"/>
  <c r="V1350" i="4"/>
  <c r="U1350" i="4"/>
  <c r="V1349" i="4"/>
  <c r="U1349" i="4"/>
  <c r="V1348" i="4"/>
  <c r="U1348" i="4"/>
  <c r="V1347" i="4"/>
  <c r="U1347" i="4"/>
  <c r="V1346" i="4"/>
  <c r="U1346" i="4"/>
  <c r="V1345" i="4"/>
  <c r="U1345" i="4"/>
  <c r="V1344" i="4"/>
  <c r="U1344" i="4"/>
  <c r="V1343" i="4"/>
  <c r="U1343" i="4"/>
  <c r="V1342" i="4"/>
  <c r="U1342" i="4"/>
  <c r="V1341" i="4"/>
  <c r="U1341" i="4"/>
  <c r="V1340" i="4"/>
  <c r="U1340" i="4"/>
  <c r="V1339" i="4"/>
  <c r="U1339" i="4"/>
  <c r="V1338" i="4"/>
  <c r="U1338" i="4"/>
  <c r="V1337" i="4"/>
  <c r="U1337" i="4"/>
  <c r="V1336" i="4"/>
  <c r="U1336" i="4"/>
  <c r="V1335" i="4"/>
  <c r="U1335" i="4"/>
  <c r="V1334" i="4"/>
  <c r="U1334" i="4"/>
  <c r="V1333" i="4"/>
  <c r="U1333" i="4"/>
  <c r="V1332" i="4"/>
  <c r="U1332" i="4"/>
  <c r="V1331" i="4"/>
  <c r="U1331" i="4"/>
  <c r="V1330" i="4"/>
  <c r="U1330" i="4"/>
  <c r="V1329" i="4"/>
  <c r="U1329" i="4"/>
  <c r="V1328" i="4"/>
  <c r="U1328" i="4"/>
  <c r="V1327" i="4"/>
  <c r="U1327" i="4"/>
  <c r="V1326" i="4"/>
  <c r="U1326" i="4"/>
  <c r="V1325" i="4"/>
  <c r="U1325" i="4"/>
  <c r="V1324" i="4"/>
  <c r="U1324" i="4"/>
  <c r="V1323" i="4"/>
  <c r="U1323" i="4"/>
  <c r="V1322" i="4"/>
  <c r="U1322" i="4"/>
  <c r="V1321" i="4"/>
  <c r="U1321" i="4"/>
  <c r="V1320" i="4"/>
  <c r="U1320" i="4"/>
  <c r="V1319" i="4"/>
  <c r="U1319" i="4"/>
  <c r="V1318" i="4"/>
  <c r="U1318" i="4"/>
  <c r="V1317" i="4"/>
  <c r="U1317" i="4"/>
  <c r="V1316" i="4"/>
  <c r="U1316" i="4"/>
  <c r="V1315" i="4"/>
  <c r="U1315" i="4"/>
  <c r="V1314" i="4"/>
  <c r="U1314" i="4"/>
  <c r="V1313" i="4"/>
  <c r="U1313" i="4"/>
  <c r="V1312" i="4"/>
  <c r="U1312" i="4"/>
  <c r="V1311" i="4"/>
  <c r="U1311" i="4"/>
  <c r="V1310" i="4"/>
  <c r="U1310" i="4"/>
  <c r="V1309" i="4"/>
  <c r="U1309" i="4"/>
  <c r="V1308" i="4"/>
  <c r="U1308" i="4"/>
  <c r="V1307" i="4"/>
  <c r="U1307" i="4"/>
  <c r="V1306" i="4"/>
  <c r="U1306" i="4"/>
  <c r="V1305" i="4"/>
  <c r="U1305" i="4"/>
  <c r="V1304" i="4"/>
  <c r="U1304" i="4"/>
  <c r="V1303" i="4"/>
  <c r="U1303" i="4"/>
  <c r="V1302" i="4"/>
  <c r="U1302" i="4"/>
  <c r="V1301" i="4"/>
  <c r="U1301" i="4"/>
  <c r="V1300" i="4"/>
  <c r="U1300" i="4"/>
  <c r="V1299" i="4"/>
  <c r="U1299" i="4"/>
  <c r="V1298" i="4"/>
  <c r="U1298" i="4"/>
  <c r="V1297" i="4"/>
  <c r="U1297" i="4"/>
  <c r="V1296" i="4"/>
  <c r="U1296" i="4"/>
  <c r="V1295" i="4"/>
  <c r="U1295" i="4"/>
  <c r="V1294" i="4"/>
  <c r="U1294" i="4"/>
  <c r="V1293" i="4"/>
  <c r="U1293" i="4"/>
  <c r="V1292" i="4"/>
  <c r="U1292" i="4"/>
  <c r="V1291" i="4"/>
  <c r="U1291" i="4"/>
  <c r="V1290" i="4"/>
  <c r="U1290" i="4"/>
  <c r="V1289" i="4"/>
  <c r="U1289" i="4"/>
  <c r="V1288" i="4"/>
  <c r="U1288" i="4"/>
  <c r="V1287" i="4"/>
  <c r="U1287" i="4"/>
  <c r="V1286" i="4"/>
  <c r="U1286" i="4"/>
  <c r="V1285" i="4"/>
  <c r="U1285" i="4"/>
  <c r="V1284" i="4"/>
  <c r="U1284" i="4"/>
  <c r="V1283" i="4"/>
  <c r="U1283" i="4"/>
  <c r="V1282" i="4"/>
  <c r="U1282" i="4"/>
  <c r="V1281" i="4"/>
  <c r="U1281" i="4"/>
  <c r="V1280" i="4"/>
  <c r="U1280" i="4"/>
  <c r="V1279" i="4"/>
  <c r="U1279" i="4"/>
  <c r="V1278" i="4"/>
  <c r="U1278" i="4"/>
  <c r="V1277" i="4"/>
  <c r="U1277" i="4"/>
  <c r="V1276" i="4"/>
  <c r="U1276" i="4"/>
  <c r="V1275" i="4"/>
  <c r="U1275" i="4"/>
  <c r="V1274" i="4"/>
  <c r="U1274" i="4"/>
  <c r="V1273" i="4"/>
  <c r="U1273" i="4"/>
  <c r="V1272" i="4"/>
  <c r="U1272" i="4"/>
  <c r="V1271" i="4"/>
  <c r="U1271" i="4"/>
  <c r="V1270" i="4"/>
  <c r="U1270" i="4"/>
  <c r="V1269" i="4"/>
  <c r="U1269" i="4"/>
  <c r="V1268" i="4"/>
  <c r="U1268" i="4"/>
  <c r="V1267" i="4"/>
  <c r="U1267" i="4"/>
  <c r="V1266" i="4"/>
  <c r="U1266" i="4"/>
  <c r="V1265" i="4"/>
  <c r="U1265" i="4"/>
  <c r="V1264" i="4"/>
  <c r="U1264" i="4"/>
  <c r="V1263" i="4"/>
  <c r="U1263" i="4"/>
  <c r="V1262" i="4"/>
  <c r="U1262" i="4"/>
  <c r="V1261" i="4"/>
  <c r="U1261" i="4"/>
  <c r="V1260" i="4"/>
  <c r="U1260" i="4"/>
  <c r="V1259" i="4"/>
  <c r="U1259" i="4"/>
  <c r="V1258" i="4"/>
  <c r="U1258" i="4"/>
  <c r="V1257" i="4"/>
  <c r="U1257" i="4"/>
  <c r="V1256" i="4"/>
  <c r="U1256" i="4"/>
  <c r="V1255" i="4"/>
  <c r="U1255" i="4"/>
  <c r="V1254" i="4"/>
  <c r="U1254" i="4"/>
  <c r="V1253" i="4"/>
  <c r="U1253" i="4"/>
  <c r="V1252" i="4"/>
  <c r="U1252" i="4"/>
  <c r="V1251" i="4"/>
  <c r="U1251" i="4"/>
  <c r="V1250" i="4"/>
  <c r="U1250" i="4"/>
  <c r="V1249" i="4"/>
  <c r="U1249" i="4"/>
  <c r="V1248" i="4"/>
  <c r="U1248" i="4"/>
  <c r="V1247" i="4"/>
  <c r="U1247" i="4"/>
  <c r="V1246" i="4"/>
  <c r="U1246" i="4"/>
  <c r="V1245" i="4"/>
  <c r="U1245" i="4"/>
  <c r="V1244" i="4"/>
  <c r="U1244" i="4"/>
  <c r="V1243" i="4"/>
  <c r="U1243" i="4"/>
  <c r="V1242" i="4"/>
  <c r="U1242" i="4"/>
  <c r="V1241" i="4"/>
  <c r="U1241" i="4"/>
  <c r="V1240" i="4"/>
  <c r="U1240" i="4"/>
  <c r="V1239" i="4"/>
  <c r="U1239" i="4"/>
  <c r="V1238" i="4"/>
  <c r="U1238" i="4"/>
  <c r="V1237" i="4"/>
  <c r="U1237" i="4"/>
  <c r="V1236" i="4"/>
  <c r="U1236" i="4"/>
  <c r="V1235" i="4"/>
  <c r="U1235" i="4"/>
  <c r="V1234" i="4"/>
  <c r="U1234" i="4"/>
  <c r="V1233" i="4"/>
  <c r="U1233" i="4"/>
  <c r="V1232" i="4"/>
  <c r="U1232" i="4"/>
  <c r="V1231" i="4"/>
  <c r="U1231" i="4"/>
  <c r="V1230" i="4"/>
  <c r="U1230" i="4"/>
  <c r="V1229" i="4"/>
  <c r="U1229" i="4"/>
  <c r="V1228" i="4"/>
  <c r="U1228" i="4"/>
  <c r="V1227" i="4"/>
  <c r="U1227" i="4"/>
  <c r="V1226" i="4"/>
  <c r="U1226" i="4"/>
  <c r="V1225" i="4"/>
  <c r="U1225" i="4"/>
  <c r="V1224" i="4"/>
  <c r="U1224" i="4"/>
  <c r="V1223" i="4"/>
  <c r="U1223" i="4"/>
  <c r="V1222" i="4"/>
  <c r="U1222" i="4"/>
  <c r="V1221" i="4"/>
  <c r="U1221" i="4"/>
  <c r="V1220" i="4"/>
  <c r="U1220" i="4"/>
  <c r="V1219" i="4"/>
  <c r="U1219" i="4"/>
  <c r="V1218" i="4"/>
  <c r="U1218" i="4"/>
  <c r="V1217" i="4"/>
  <c r="U1217" i="4"/>
  <c r="V1216" i="4"/>
  <c r="U1216" i="4"/>
  <c r="V1215" i="4"/>
  <c r="U1215" i="4"/>
  <c r="V1214" i="4"/>
  <c r="U1214" i="4"/>
  <c r="V1213" i="4"/>
  <c r="U1213" i="4"/>
  <c r="V1212" i="4"/>
  <c r="U1212" i="4"/>
  <c r="V1211" i="4"/>
  <c r="U1211" i="4"/>
  <c r="V1210" i="4"/>
  <c r="U1210" i="4"/>
  <c r="V1209" i="4"/>
  <c r="U1209" i="4"/>
  <c r="V1208" i="4"/>
  <c r="U1208" i="4"/>
  <c r="V1207" i="4"/>
  <c r="U1207" i="4"/>
  <c r="V1206" i="4"/>
  <c r="U1206" i="4"/>
  <c r="V1205" i="4"/>
  <c r="U1205" i="4"/>
  <c r="V1204" i="4"/>
  <c r="U1204" i="4"/>
  <c r="V1203" i="4"/>
  <c r="U1203" i="4"/>
  <c r="V1202" i="4"/>
  <c r="U1202" i="4"/>
  <c r="V1201" i="4"/>
  <c r="U1201" i="4"/>
  <c r="V1200" i="4"/>
  <c r="U1200" i="4"/>
  <c r="V1199" i="4"/>
  <c r="U1199" i="4"/>
  <c r="V1198" i="4"/>
  <c r="U1198" i="4"/>
  <c r="V1197" i="4"/>
  <c r="U1197" i="4"/>
  <c r="V1196" i="4"/>
  <c r="U1196" i="4"/>
  <c r="V1195" i="4"/>
  <c r="U1195" i="4"/>
  <c r="V1194" i="4"/>
  <c r="U1194" i="4"/>
  <c r="V1193" i="4"/>
  <c r="U1193" i="4"/>
  <c r="V1192" i="4"/>
  <c r="U1192" i="4"/>
  <c r="V1191" i="4"/>
  <c r="U1191" i="4"/>
  <c r="V1190" i="4"/>
  <c r="U1190" i="4"/>
  <c r="V1189" i="4"/>
  <c r="U1189" i="4"/>
  <c r="V1188" i="4"/>
  <c r="U1188" i="4"/>
  <c r="V1187" i="4"/>
  <c r="U1187" i="4"/>
  <c r="V1186" i="4"/>
  <c r="U1186" i="4"/>
  <c r="V1185" i="4"/>
  <c r="U1185" i="4"/>
  <c r="V1184" i="4"/>
  <c r="U1184" i="4"/>
  <c r="V1183" i="4"/>
  <c r="U1183" i="4"/>
  <c r="V1182" i="4"/>
  <c r="U1182" i="4"/>
  <c r="V1181" i="4"/>
  <c r="U1181" i="4"/>
  <c r="V1180" i="4"/>
  <c r="U1180" i="4"/>
  <c r="V1179" i="4"/>
  <c r="U1179" i="4"/>
  <c r="V1178" i="4"/>
  <c r="U1178" i="4"/>
  <c r="V1177" i="4"/>
  <c r="U1177" i="4"/>
  <c r="V1176" i="4"/>
  <c r="U1176" i="4"/>
  <c r="V1175" i="4"/>
  <c r="U1175" i="4"/>
  <c r="V1174" i="4"/>
  <c r="U1174" i="4"/>
  <c r="V1173" i="4"/>
  <c r="U1173" i="4"/>
  <c r="V1172" i="4"/>
  <c r="U1172" i="4"/>
  <c r="V1171" i="4"/>
  <c r="U1171" i="4"/>
  <c r="V1170" i="4"/>
  <c r="U1170" i="4"/>
  <c r="V1169" i="4"/>
  <c r="U1169" i="4"/>
  <c r="V1168" i="4"/>
  <c r="U1168" i="4"/>
  <c r="V1167" i="4"/>
  <c r="U1167" i="4"/>
  <c r="V1166" i="4"/>
  <c r="U1166" i="4"/>
  <c r="V1165" i="4"/>
  <c r="U1165" i="4"/>
  <c r="V1164" i="4"/>
  <c r="U1164" i="4"/>
  <c r="V1163" i="4"/>
  <c r="U1163" i="4"/>
  <c r="V1162" i="4"/>
  <c r="U1162" i="4"/>
  <c r="V1161" i="4"/>
  <c r="U1161" i="4"/>
  <c r="V1160" i="4"/>
  <c r="U1160" i="4"/>
  <c r="V1159" i="4"/>
  <c r="U1159" i="4"/>
  <c r="V1158" i="4"/>
  <c r="U1158" i="4"/>
  <c r="V1157" i="4"/>
  <c r="U1157" i="4"/>
  <c r="V1156" i="4"/>
  <c r="U1156" i="4"/>
  <c r="V1155" i="4"/>
  <c r="U1155" i="4"/>
  <c r="V1154" i="4"/>
  <c r="U1154" i="4"/>
  <c r="V1153" i="4"/>
  <c r="U1153" i="4"/>
  <c r="V1152" i="4"/>
  <c r="U1152" i="4"/>
  <c r="V1151" i="4"/>
  <c r="U1151" i="4"/>
  <c r="V1150" i="4"/>
  <c r="U1150" i="4"/>
  <c r="V1149" i="4"/>
  <c r="U1149" i="4"/>
  <c r="V1148" i="4"/>
  <c r="U1148" i="4"/>
  <c r="V1147" i="4"/>
  <c r="U1147" i="4"/>
  <c r="V1146" i="4"/>
  <c r="U1146" i="4"/>
  <c r="V1145" i="4"/>
  <c r="U1145" i="4"/>
  <c r="V1144" i="4"/>
  <c r="U1144" i="4"/>
  <c r="V1143" i="4"/>
  <c r="U1143" i="4"/>
  <c r="V1142" i="4"/>
  <c r="U1142" i="4"/>
  <c r="V1141" i="4"/>
  <c r="U1141" i="4"/>
  <c r="V1140" i="4"/>
  <c r="U1140" i="4"/>
  <c r="V1139" i="4"/>
  <c r="U1139" i="4"/>
  <c r="V1138" i="4"/>
  <c r="U1138" i="4"/>
  <c r="V1137" i="4"/>
  <c r="U1137" i="4"/>
  <c r="V1136" i="4"/>
  <c r="U1136" i="4"/>
  <c r="V1135" i="4"/>
  <c r="U1135" i="4"/>
  <c r="V1134" i="4"/>
  <c r="U1134" i="4"/>
  <c r="V1133" i="4"/>
  <c r="U1133" i="4"/>
  <c r="V1132" i="4"/>
  <c r="U1132" i="4"/>
  <c r="V1131" i="4"/>
  <c r="U1131" i="4"/>
  <c r="V1130" i="4"/>
  <c r="U1130" i="4"/>
  <c r="V1129" i="4"/>
  <c r="U1129" i="4"/>
  <c r="V1128" i="4"/>
  <c r="U1128" i="4"/>
  <c r="V1127" i="4"/>
  <c r="U1127" i="4"/>
  <c r="V1126" i="4"/>
  <c r="U1126" i="4"/>
  <c r="V1125" i="4"/>
  <c r="U1125" i="4"/>
  <c r="V1124" i="4"/>
  <c r="U1124" i="4"/>
  <c r="V1123" i="4"/>
  <c r="U1123" i="4"/>
  <c r="V1122" i="4"/>
  <c r="U1122" i="4"/>
  <c r="V1121" i="4"/>
  <c r="U1121" i="4"/>
  <c r="V1120" i="4"/>
  <c r="U1120" i="4"/>
  <c r="V1119" i="4"/>
  <c r="U1119" i="4"/>
  <c r="V1118" i="4"/>
  <c r="U1118" i="4"/>
  <c r="V1117" i="4"/>
  <c r="U1117" i="4"/>
  <c r="V1116" i="4"/>
  <c r="U1116" i="4"/>
  <c r="V1115" i="4"/>
  <c r="U1115" i="4"/>
  <c r="V1114" i="4"/>
  <c r="U1114" i="4"/>
  <c r="V1113" i="4"/>
  <c r="U1113" i="4"/>
  <c r="V1112" i="4"/>
  <c r="U1112" i="4"/>
  <c r="V1111" i="4"/>
  <c r="U1111" i="4"/>
  <c r="V1110" i="4"/>
  <c r="U1110" i="4"/>
  <c r="V1109" i="4"/>
  <c r="U1109" i="4"/>
  <c r="V1108" i="4"/>
  <c r="U1108" i="4"/>
  <c r="V1107" i="4"/>
  <c r="U1107" i="4"/>
  <c r="V1106" i="4"/>
  <c r="U1106" i="4"/>
  <c r="V1105" i="4"/>
  <c r="U1105" i="4"/>
  <c r="V1104" i="4"/>
  <c r="U1104" i="4"/>
  <c r="V1103" i="4"/>
  <c r="U1103" i="4"/>
  <c r="V1102" i="4"/>
  <c r="U1102" i="4"/>
  <c r="V1101" i="4"/>
  <c r="U1101" i="4"/>
  <c r="V1100" i="4"/>
  <c r="U1100" i="4"/>
  <c r="V1099" i="4"/>
  <c r="U1099" i="4"/>
  <c r="V1098" i="4"/>
  <c r="U1098" i="4"/>
  <c r="V1097" i="4"/>
  <c r="U1097" i="4"/>
  <c r="V1096" i="4"/>
  <c r="U1096" i="4"/>
  <c r="V1095" i="4"/>
  <c r="U1095" i="4"/>
  <c r="V1094" i="4"/>
  <c r="U1094" i="4"/>
  <c r="V1093" i="4"/>
  <c r="U1093" i="4"/>
  <c r="V1092" i="4"/>
  <c r="U1092" i="4"/>
  <c r="V1091" i="4"/>
  <c r="U1091" i="4"/>
  <c r="V1090" i="4"/>
  <c r="U1090" i="4"/>
  <c r="V1089" i="4"/>
  <c r="U1089" i="4"/>
  <c r="V1088" i="4"/>
  <c r="U1088" i="4"/>
  <c r="V1087" i="4"/>
  <c r="U1087" i="4"/>
  <c r="V1086" i="4"/>
  <c r="U1086" i="4"/>
  <c r="V1085" i="4"/>
  <c r="U1085" i="4"/>
  <c r="V1084" i="4"/>
  <c r="U1084" i="4"/>
  <c r="V1083" i="4"/>
  <c r="U1083" i="4"/>
  <c r="V1082" i="4"/>
  <c r="U1082" i="4"/>
  <c r="V1081" i="4"/>
  <c r="U1081" i="4"/>
  <c r="V1080" i="4"/>
  <c r="U1080" i="4"/>
  <c r="V1079" i="4"/>
  <c r="U1079" i="4"/>
  <c r="V1078" i="4"/>
  <c r="U1078" i="4"/>
  <c r="V1077" i="4"/>
  <c r="U1077" i="4"/>
  <c r="V1076" i="4"/>
  <c r="U1076" i="4"/>
  <c r="V1075" i="4"/>
  <c r="U1075" i="4"/>
  <c r="V1074" i="4"/>
  <c r="U1074" i="4"/>
  <c r="V1073" i="4"/>
  <c r="U1073" i="4"/>
  <c r="V1072" i="4"/>
  <c r="U1072" i="4"/>
  <c r="V1071" i="4"/>
  <c r="U1071" i="4"/>
  <c r="V1070" i="4"/>
  <c r="U1070" i="4"/>
  <c r="V1069" i="4"/>
  <c r="U1069" i="4"/>
  <c r="V1068" i="4"/>
  <c r="U1068" i="4"/>
  <c r="V1067" i="4"/>
  <c r="U1067" i="4"/>
  <c r="V1066" i="4"/>
  <c r="U1066" i="4"/>
  <c r="V1065" i="4"/>
  <c r="U1065" i="4"/>
  <c r="V1064" i="4"/>
  <c r="U1064" i="4"/>
  <c r="V1063" i="4"/>
  <c r="U1063" i="4"/>
  <c r="V1062" i="4"/>
  <c r="U1062" i="4"/>
  <c r="V1061" i="4"/>
  <c r="U1061" i="4"/>
  <c r="V1060" i="4"/>
  <c r="U1060" i="4"/>
  <c r="V1059" i="4"/>
  <c r="U1059" i="4"/>
  <c r="V1058" i="4"/>
  <c r="U1058" i="4"/>
  <c r="V1057" i="4"/>
  <c r="U1057" i="4"/>
  <c r="V1056" i="4"/>
  <c r="U1056" i="4"/>
  <c r="V1055" i="4"/>
  <c r="U1055" i="4"/>
  <c r="V1054" i="4"/>
  <c r="U1054" i="4"/>
  <c r="V1053" i="4"/>
  <c r="U1053" i="4"/>
  <c r="V1052" i="4"/>
  <c r="U1052" i="4"/>
  <c r="V1051" i="4"/>
  <c r="U1051" i="4"/>
  <c r="V1050" i="4"/>
  <c r="U1050" i="4"/>
  <c r="V1049" i="4"/>
  <c r="U1049" i="4"/>
  <c r="V1048" i="4"/>
  <c r="U1048" i="4"/>
  <c r="V1047" i="4"/>
  <c r="U1047" i="4"/>
  <c r="V1046" i="4"/>
  <c r="U1046" i="4"/>
  <c r="V1045" i="4"/>
  <c r="U1045" i="4"/>
  <c r="V1044" i="4"/>
  <c r="U1044" i="4"/>
  <c r="V1043" i="4"/>
  <c r="U1043" i="4"/>
  <c r="V1042" i="4"/>
  <c r="U1042" i="4"/>
  <c r="V1041" i="4"/>
  <c r="U1041" i="4"/>
  <c r="V1040" i="4"/>
  <c r="U1040" i="4"/>
  <c r="V1039" i="4"/>
  <c r="U1039" i="4"/>
  <c r="V1038" i="4"/>
  <c r="U1038" i="4"/>
  <c r="V1037" i="4"/>
  <c r="U1037" i="4"/>
  <c r="V1036" i="4"/>
  <c r="U1036" i="4"/>
  <c r="V1035" i="4"/>
  <c r="U1035" i="4"/>
  <c r="V1034" i="4"/>
  <c r="U1034" i="4"/>
  <c r="V1033" i="4"/>
  <c r="U1033" i="4"/>
  <c r="V1032" i="4"/>
  <c r="U1032" i="4"/>
  <c r="V1031" i="4"/>
  <c r="U1031" i="4"/>
  <c r="V1030" i="4"/>
  <c r="U1030" i="4"/>
  <c r="V1029" i="4"/>
  <c r="U1029" i="4"/>
  <c r="V1028" i="4"/>
  <c r="U1028" i="4"/>
  <c r="V1027" i="4"/>
  <c r="U1027" i="4"/>
  <c r="V1026" i="4"/>
  <c r="U1026" i="4"/>
  <c r="V1025" i="4"/>
  <c r="U1025" i="4"/>
  <c r="V1024" i="4"/>
  <c r="U1024" i="4"/>
  <c r="V1023" i="4"/>
  <c r="U1023" i="4"/>
  <c r="V1022" i="4"/>
  <c r="U1022" i="4"/>
  <c r="V1021" i="4"/>
  <c r="U1021" i="4"/>
  <c r="V1020" i="4"/>
  <c r="U1020" i="4"/>
  <c r="V1019" i="4"/>
  <c r="U1019" i="4"/>
  <c r="V1018" i="4"/>
  <c r="U1018" i="4"/>
  <c r="V1017" i="4"/>
  <c r="U1017" i="4"/>
  <c r="V1016" i="4"/>
  <c r="U1016" i="4"/>
  <c r="V1015" i="4"/>
  <c r="U1015" i="4"/>
  <c r="V1014" i="4"/>
  <c r="U1014" i="4"/>
  <c r="V1013" i="4"/>
  <c r="U1013" i="4"/>
  <c r="V1012" i="4"/>
  <c r="U1012" i="4"/>
  <c r="V1011" i="4"/>
  <c r="U1011" i="4"/>
  <c r="V1010" i="4"/>
  <c r="U1010" i="4"/>
  <c r="V1009" i="4"/>
  <c r="U1009" i="4"/>
  <c r="V1008" i="4"/>
  <c r="U1008" i="4"/>
  <c r="V1007" i="4"/>
  <c r="U1007" i="4"/>
  <c r="V1006" i="4"/>
  <c r="U1006" i="4"/>
  <c r="V1005" i="4"/>
  <c r="U1005" i="4"/>
  <c r="V1004" i="4"/>
  <c r="U1004" i="4"/>
  <c r="V1003" i="4"/>
  <c r="U1003" i="4"/>
  <c r="V1002" i="4"/>
  <c r="U1002" i="4"/>
  <c r="V1001" i="4"/>
  <c r="U1001" i="4"/>
  <c r="V1000" i="4"/>
  <c r="U1000" i="4"/>
  <c r="V999" i="4"/>
  <c r="U999" i="4"/>
  <c r="V998" i="4"/>
  <c r="U998" i="4"/>
  <c r="V997" i="4"/>
  <c r="U997" i="4"/>
  <c r="V996" i="4"/>
  <c r="U996" i="4"/>
  <c r="V995" i="4"/>
  <c r="U995" i="4"/>
  <c r="V994" i="4"/>
  <c r="U994" i="4"/>
  <c r="V993" i="4"/>
  <c r="U993" i="4"/>
  <c r="V992" i="4"/>
  <c r="U992" i="4"/>
  <c r="V991" i="4"/>
  <c r="U991" i="4"/>
  <c r="V990" i="4"/>
  <c r="U990" i="4"/>
  <c r="V989" i="4"/>
  <c r="U989" i="4"/>
  <c r="V988" i="4"/>
  <c r="U988" i="4"/>
  <c r="V987" i="4"/>
  <c r="U987" i="4"/>
  <c r="V986" i="4"/>
  <c r="U986" i="4"/>
  <c r="V985" i="4"/>
  <c r="U985" i="4"/>
  <c r="V984" i="4"/>
  <c r="U984" i="4"/>
  <c r="V983" i="4"/>
  <c r="U983" i="4"/>
  <c r="V982" i="4"/>
  <c r="U982" i="4"/>
  <c r="V981" i="4"/>
  <c r="U981" i="4"/>
  <c r="V980" i="4"/>
  <c r="U980" i="4"/>
  <c r="V979" i="4"/>
  <c r="U979" i="4"/>
  <c r="V978" i="4"/>
  <c r="U978" i="4"/>
  <c r="V977" i="4"/>
  <c r="U977" i="4"/>
  <c r="V976" i="4"/>
  <c r="U976" i="4"/>
  <c r="V975" i="4"/>
  <c r="U975" i="4"/>
  <c r="V974" i="4"/>
  <c r="U974" i="4"/>
  <c r="V973" i="4"/>
  <c r="U973" i="4"/>
  <c r="V972" i="4"/>
  <c r="U972" i="4"/>
  <c r="V971" i="4"/>
  <c r="U971" i="4"/>
  <c r="V970" i="4"/>
  <c r="U970" i="4"/>
  <c r="V969" i="4"/>
  <c r="U969" i="4"/>
  <c r="V968" i="4"/>
  <c r="U968" i="4"/>
  <c r="V967" i="4"/>
  <c r="U967" i="4"/>
  <c r="V966" i="4"/>
  <c r="U966" i="4"/>
  <c r="V965" i="4"/>
  <c r="U965" i="4"/>
  <c r="V964" i="4"/>
  <c r="U964" i="4"/>
  <c r="V963" i="4"/>
  <c r="U963" i="4"/>
  <c r="V962" i="4"/>
  <c r="U962" i="4"/>
  <c r="V961" i="4"/>
  <c r="U961" i="4"/>
  <c r="V960" i="4"/>
  <c r="U960" i="4"/>
  <c r="V959" i="4"/>
  <c r="U959" i="4"/>
  <c r="V958" i="4"/>
  <c r="U958" i="4"/>
  <c r="V957" i="4"/>
  <c r="U957" i="4"/>
  <c r="V956" i="4"/>
  <c r="U956" i="4"/>
  <c r="V955" i="4"/>
  <c r="U955" i="4"/>
  <c r="V954" i="4"/>
  <c r="U954" i="4"/>
  <c r="V953" i="4"/>
  <c r="U953" i="4"/>
  <c r="V952" i="4"/>
  <c r="U952" i="4"/>
  <c r="V951" i="4"/>
  <c r="U951" i="4"/>
  <c r="V950" i="4"/>
  <c r="U950" i="4"/>
  <c r="V949" i="4"/>
  <c r="U949" i="4"/>
  <c r="V948" i="4"/>
  <c r="U948" i="4"/>
  <c r="V947" i="4"/>
  <c r="U947" i="4"/>
  <c r="V946" i="4"/>
  <c r="U946" i="4"/>
  <c r="V945" i="4"/>
  <c r="U945" i="4"/>
  <c r="V944" i="4"/>
  <c r="U944" i="4"/>
  <c r="V943" i="4"/>
  <c r="U943" i="4"/>
  <c r="V942" i="4"/>
  <c r="U942" i="4"/>
  <c r="V941" i="4"/>
  <c r="U941" i="4"/>
  <c r="V940" i="4"/>
  <c r="U940" i="4"/>
  <c r="V939" i="4"/>
  <c r="U939" i="4"/>
  <c r="V938" i="4"/>
  <c r="U938" i="4"/>
  <c r="V937" i="4"/>
  <c r="U937" i="4"/>
  <c r="V936" i="4"/>
  <c r="U936" i="4"/>
  <c r="V935" i="4"/>
  <c r="U935" i="4"/>
  <c r="V934" i="4"/>
  <c r="U934" i="4"/>
  <c r="V933" i="4"/>
  <c r="U933" i="4"/>
  <c r="V932" i="4"/>
  <c r="U932" i="4"/>
  <c r="V931" i="4"/>
  <c r="U931" i="4"/>
  <c r="V930" i="4"/>
  <c r="U930" i="4"/>
  <c r="V929" i="4"/>
  <c r="U929" i="4"/>
  <c r="V928" i="4"/>
  <c r="U928" i="4"/>
  <c r="V927" i="4"/>
  <c r="U927" i="4"/>
  <c r="V926" i="4"/>
  <c r="U926" i="4"/>
  <c r="V925" i="4"/>
  <c r="U925" i="4"/>
  <c r="V924" i="4"/>
  <c r="U924" i="4"/>
  <c r="V923" i="4"/>
  <c r="U923" i="4"/>
  <c r="V922" i="4"/>
  <c r="U922" i="4"/>
  <c r="V921" i="4"/>
  <c r="U921" i="4"/>
  <c r="V920" i="4"/>
  <c r="U920" i="4"/>
  <c r="V919" i="4"/>
  <c r="U919" i="4"/>
  <c r="V918" i="4"/>
  <c r="U918" i="4"/>
  <c r="V917" i="4"/>
  <c r="U917" i="4"/>
  <c r="V916" i="4"/>
  <c r="U916" i="4"/>
  <c r="V915" i="4"/>
  <c r="U915" i="4"/>
  <c r="V914" i="4"/>
  <c r="U914" i="4"/>
  <c r="V913" i="4"/>
  <c r="U913" i="4"/>
  <c r="V912" i="4"/>
  <c r="U912" i="4"/>
  <c r="V911" i="4"/>
  <c r="U911" i="4"/>
  <c r="V910" i="4"/>
  <c r="U910" i="4"/>
  <c r="V909" i="4"/>
  <c r="U909" i="4"/>
  <c r="V908" i="4"/>
  <c r="U908" i="4"/>
  <c r="V907" i="4"/>
  <c r="U907" i="4"/>
  <c r="V906" i="4"/>
  <c r="U906" i="4"/>
  <c r="V905" i="4"/>
  <c r="U905" i="4"/>
  <c r="V904" i="4"/>
  <c r="U904" i="4"/>
  <c r="V903" i="4"/>
  <c r="U903" i="4"/>
  <c r="V902" i="4"/>
  <c r="U902" i="4"/>
  <c r="V901" i="4"/>
  <c r="U901" i="4"/>
  <c r="V900" i="4"/>
  <c r="U900" i="4"/>
  <c r="V899" i="4"/>
  <c r="U899" i="4"/>
  <c r="V898" i="4"/>
  <c r="U898" i="4"/>
  <c r="V897" i="4"/>
  <c r="U897" i="4"/>
  <c r="V896" i="4"/>
  <c r="U896" i="4"/>
  <c r="V895" i="4"/>
  <c r="U895" i="4"/>
  <c r="V894" i="4"/>
  <c r="U894" i="4"/>
  <c r="V893" i="4"/>
  <c r="U893" i="4"/>
  <c r="V892" i="4"/>
  <c r="U892" i="4"/>
  <c r="V891" i="4"/>
  <c r="U891" i="4"/>
  <c r="V890" i="4"/>
  <c r="U890" i="4"/>
  <c r="V889" i="4"/>
  <c r="U889" i="4"/>
  <c r="V888" i="4"/>
  <c r="U888" i="4"/>
  <c r="V887" i="4"/>
  <c r="U887" i="4"/>
  <c r="V886" i="4"/>
  <c r="U886" i="4"/>
  <c r="V885" i="4"/>
  <c r="U885" i="4"/>
  <c r="V884" i="4"/>
  <c r="U884" i="4"/>
  <c r="V883" i="4"/>
  <c r="U883" i="4"/>
  <c r="V882" i="4"/>
  <c r="U882" i="4"/>
  <c r="V881" i="4"/>
  <c r="U881" i="4"/>
  <c r="V880" i="4"/>
  <c r="U880" i="4"/>
  <c r="V879" i="4"/>
  <c r="U879" i="4"/>
  <c r="V878" i="4"/>
  <c r="U878" i="4"/>
  <c r="V877" i="4"/>
  <c r="U877" i="4"/>
  <c r="V876" i="4"/>
  <c r="U876" i="4"/>
  <c r="V875" i="4"/>
  <c r="U875" i="4"/>
  <c r="V874" i="4"/>
  <c r="U874" i="4"/>
  <c r="V873" i="4"/>
  <c r="U873" i="4"/>
  <c r="V872" i="4"/>
  <c r="U872" i="4"/>
  <c r="V871" i="4"/>
  <c r="U871" i="4"/>
  <c r="V870" i="4"/>
  <c r="U870" i="4"/>
  <c r="V869" i="4"/>
  <c r="U869" i="4"/>
  <c r="V868" i="4"/>
  <c r="U868" i="4"/>
  <c r="V867" i="4"/>
  <c r="U867" i="4"/>
  <c r="V866" i="4"/>
  <c r="U866" i="4"/>
  <c r="V865" i="4"/>
  <c r="U865" i="4"/>
  <c r="V864" i="4"/>
  <c r="U864" i="4"/>
  <c r="V863" i="4"/>
  <c r="U863" i="4"/>
  <c r="V862" i="4"/>
  <c r="U862" i="4"/>
  <c r="V861" i="4"/>
  <c r="U861" i="4"/>
  <c r="V860" i="4"/>
  <c r="U860" i="4"/>
  <c r="V859" i="4"/>
  <c r="U859" i="4"/>
  <c r="V858" i="4"/>
  <c r="U858" i="4"/>
  <c r="V857" i="4"/>
  <c r="U857" i="4"/>
  <c r="V856" i="4"/>
  <c r="U856" i="4"/>
  <c r="V855" i="4"/>
  <c r="U855" i="4"/>
  <c r="V854" i="4"/>
  <c r="U854" i="4"/>
  <c r="V853" i="4"/>
  <c r="U853" i="4"/>
  <c r="V852" i="4"/>
  <c r="U852" i="4"/>
  <c r="V851" i="4"/>
  <c r="U851" i="4"/>
  <c r="V850" i="4"/>
  <c r="U850" i="4"/>
  <c r="V849" i="4"/>
  <c r="U849" i="4"/>
  <c r="V848" i="4"/>
  <c r="U848" i="4"/>
  <c r="V847" i="4"/>
  <c r="U847" i="4"/>
  <c r="V846" i="4"/>
  <c r="U846" i="4"/>
  <c r="V845" i="4"/>
  <c r="U845" i="4"/>
  <c r="V844" i="4"/>
  <c r="U844" i="4"/>
  <c r="V843" i="4"/>
  <c r="U843" i="4"/>
  <c r="V842" i="4"/>
  <c r="U842" i="4"/>
  <c r="V841" i="4"/>
  <c r="U841" i="4"/>
  <c r="V840" i="4"/>
  <c r="U840" i="4"/>
  <c r="V839" i="4"/>
  <c r="U839" i="4"/>
  <c r="V838" i="4"/>
  <c r="U838" i="4"/>
  <c r="V837" i="4"/>
  <c r="U837" i="4"/>
  <c r="V836" i="4"/>
  <c r="U836" i="4"/>
  <c r="V835" i="4"/>
  <c r="U835" i="4"/>
  <c r="V834" i="4"/>
  <c r="U834" i="4"/>
  <c r="V833" i="4"/>
  <c r="U833" i="4"/>
  <c r="V832" i="4"/>
  <c r="U832" i="4"/>
  <c r="V831" i="4"/>
  <c r="U831" i="4"/>
  <c r="V830" i="4"/>
  <c r="U830" i="4"/>
  <c r="V829" i="4"/>
  <c r="U829" i="4"/>
  <c r="V828" i="4"/>
  <c r="U828" i="4"/>
  <c r="V827" i="4"/>
  <c r="U827" i="4"/>
  <c r="V826" i="4"/>
  <c r="U826" i="4"/>
  <c r="V825" i="4"/>
  <c r="U825" i="4"/>
  <c r="V824" i="4"/>
  <c r="U824" i="4"/>
  <c r="V823" i="4"/>
  <c r="U823" i="4"/>
  <c r="V822" i="4"/>
  <c r="U822" i="4"/>
  <c r="V821" i="4"/>
  <c r="U821" i="4"/>
  <c r="V820" i="4"/>
  <c r="U820" i="4"/>
  <c r="V819" i="4"/>
  <c r="U819" i="4"/>
  <c r="V818" i="4"/>
  <c r="U818" i="4"/>
  <c r="V817" i="4"/>
  <c r="U817" i="4"/>
  <c r="V816" i="4"/>
  <c r="U816" i="4"/>
  <c r="V815" i="4"/>
  <c r="U815" i="4"/>
  <c r="V814" i="4"/>
  <c r="U814" i="4"/>
  <c r="V813" i="4"/>
  <c r="U813" i="4"/>
  <c r="V812" i="4"/>
  <c r="U812" i="4"/>
  <c r="V811" i="4"/>
  <c r="U811" i="4"/>
  <c r="V810" i="4"/>
  <c r="U810" i="4"/>
  <c r="V809" i="4"/>
  <c r="U809" i="4"/>
  <c r="V808" i="4"/>
  <c r="U808" i="4"/>
  <c r="V807" i="4"/>
  <c r="U807" i="4"/>
  <c r="V806" i="4"/>
  <c r="U806" i="4"/>
  <c r="V805" i="4"/>
  <c r="U805" i="4"/>
  <c r="V804" i="4"/>
  <c r="U804" i="4"/>
  <c r="V803" i="4"/>
  <c r="U803" i="4"/>
  <c r="V802" i="4"/>
  <c r="U802" i="4"/>
  <c r="V801" i="4"/>
  <c r="U801" i="4"/>
  <c r="V800" i="4"/>
  <c r="U800" i="4"/>
  <c r="V799" i="4"/>
  <c r="U799" i="4"/>
  <c r="V798" i="4"/>
  <c r="U798" i="4"/>
  <c r="V797" i="4"/>
  <c r="U797" i="4"/>
  <c r="V796" i="4"/>
  <c r="U796" i="4"/>
  <c r="V795" i="4"/>
  <c r="U795" i="4"/>
  <c r="V794" i="4"/>
  <c r="U794" i="4"/>
  <c r="V793" i="4"/>
  <c r="U793" i="4"/>
  <c r="V792" i="4"/>
  <c r="U792" i="4"/>
  <c r="V791" i="4"/>
  <c r="U791" i="4"/>
  <c r="V790" i="4"/>
  <c r="U790" i="4"/>
  <c r="V789" i="4"/>
  <c r="U789" i="4"/>
  <c r="V788" i="4"/>
  <c r="U788" i="4"/>
  <c r="V787" i="4"/>
  <c r="U787" i="4"/>
  <c r="V786" i="4"/>
  <c r="U786" i="4"/>
  <c r="V785" i="4"/>
  <c r="U785" i="4"/>
  <c r="V784" i="4"/>
  <c r="U784" i="4"/>
  <c r="V783" i="4"/>
  <c r="U783" i="4"/>
  <c r="V782" i="4"/>
  <c r="U782" i="4"/>
  <c r="V781" i="4"/>
  <c r="U781" i="4"/>
  <c r="V780" i="4"/>
  <c r="U780" i="4"/>
  <c r="V779" i="4"/>
  <c r="U779" i="4"/>
  <c r="V778" i="4"/>
  <c r="U778" i="4"/>
  <c r="V777" i="4"/>
  <c r="U777" i="4"/>
  <c r="V776" i="4"/>
  <c r="U776" i="4"/>
  <c r="V775" i="4"/>
  <c r="U775" i="4"/>
  <c r="V774" i="4"/>
  <c r="U774" i="4"/>
  <c r="V773" i="4"/>
  <c r="U773" i="4"/>
  <c r="V772" i="4"/>
  <c r="U772" i="4"/>
  <c r="V771" i="4"/>
  <c r="U771" i="4"/>
  <c r="V770" i="4"/>
  <c r="U770" i="4"/>
  <c r="V769" i="4"/>
  <c r="U769" i="4"/>
  <c r="V768" i="4"/>
  <c r="U768" i="4"/>
  <c r="V767" i="4"/>
  <c r="U767" i="4"/>
  <c r="V766" i="4"/>
  <c r="U766" i="4"/>
  <c r="V765" i="4"/>
  <c r="U765" i="4"/>
  <c r="V764" i="4"/>
  <c r="U764" i="4"/>
  <c r="V763" i="4"/>
  <c r="U763" i="4"/>
  <c r="V762" i="4"/>
  <c r="U762" i="4"/>
  <c r="V761" i="4"/>
  <c r="U761" i="4"/>
  <c r="V760" i="4"/>
  <c r="U760" i="4"/>
  <c r="V759" i="4"/>
  <c r="U759" i="4"/>
  <c r="V758" i="4"/>
  <c r="U758" i="4"/>
  <c r="V757" i="4"/>
  <c r="U757" i="4"/>
  <c r="V756" i="4"/>
  <c r="U756" i="4"/>
  <c r="V755" i="4"/>
  <c r="U755" i="4"/>
  <c r="V754" i="4"/>
  <c r="U754" i="4"/>
  <c r="V753" i="4"/>
  <c r="U753" i="4"/>
  <c r="V752" i="4"/>
  <c r="U752" i="4"/>
  <c r="V751" i="4"/>
  <c r="U751" i="4"/>
  <c r="V750" i="4"/>
  <c r="U750" i="4"/>
  <c r="V749" i="4"/>
  <c r="U749" i="4"/>
  <c r="V748" i="4"/>
  <c r="U748" i="4"/>
  <c r="V747" i="4"/>
  <c r="U747" i="4"/>
  <c r="V746" i="4"/>
  <c r="U746" i="4"/>
  <c r="V745" i="4"/>
  <c r="U745" i="4"/>
  <c r="V744" i="4"/>
  <c r="U744" i="4"/>
  <c r="V743" i="4"/>
  <c r="U743" i="4"/>
  <c r="V742" i="4"/>
  <c r="U742" i="4"/>
  <c r="V741" i="4"/>
  <c r="U741" i="4"/>
  <c r="V740" i="4"/>
  <c r="U740" i="4"/>
  <c r="V739" i="4"/>
  <c r="U739" i="4"/>
  <c r="V738" i="4"/>
  <c r="U738" i="4"/>
  <c r="V737" i="4"/>
  <c r="U737" i="4"/>
  <c r="V736" i="4"/>
  <c r="U736" i="4"/>
  <c r="V735" i="4"/>
  <c r="U735" i="4"/>
  <c r="V734" i="4"/>
  <c r="U734" i="4"/>
  <c r="V733" i="4"/>
  <c r="U733" i="4"/>
  <c r="V732" i="4"/>
  <c r="U732" i="4"/>
  <c r="V731" i="4"/>
  <c r="U731" i="4"/>
  <c r="V730" i="4"/>
  <c r="U730" i="4"/>
  <c r="V729" i="4"/>
  <c r="U729" i="4"/>
  <c r="V728" i="4"/>
  <c r="U728" i="4"/>
  <c r="V727" i="4"/>
  <c r="U727" i="4"/>
  <c r="V726" i="4"/>
  <c r="U726" i="4"/>
  <c r="V725" i="4"/>
  <c r="U725" i="4"/>
  <c r="V724" i="4"/>
  <c r="U724" i="4"/>
  <c r="V723" i="4"/>
  <c r="U723" i="4"/>
  <c r="V722" i="4"/>
  <c r="U722" i="4"/>
  <c r="V721" i="4"/>
  <c r="U721" i="4"/>
  <c r="V720" i="4"/>
  <c r="U720" i="4"/>
  <c r="V719" i="4"/>
  <c r="U719" i="4"/>
  <c r="V718" i="4"/>
  <c r="U718" i="4"/>
  <c r="V717" i="4"/>
  <c r="U717" i="4"/>
  <c r="V716" i="4"/>
  <c r="U716" i="4"/>
  <c r="V715" i="4"/>
  <c r="U715" i="4"/>
  <c r="V714" i="4"/>
  <c r="U714" i="4"/>
  <c r="V713" i="4"/>
  <c r="U713" i="4"/>
  <c r="V712" i="4"/>
  <c r="U712" i="4"/>
  <c r="V711" i="4"/>
  <c r="U711" i="4"/>
  <c r="V710" i="4"/>
  <c r="U710" i="4"/>
  <c r="V709" i="4"/>
  <c r="U709" i="4"/>
  <c r="V708" i="4"/>
  <c r="U708" i="4"/>
  <c r="V707" i="4"/>
  <c r="U707" i="4"/>
  <c r="V706" i="4"/>
  <c r="U706" i="4"/>
  <c r="V705" i="4"/>
  <c r="U705" i="4"/>
  <c r="V704" i="4"/>
  <c r="U704" i="4"/>
  <c r="V703" i="4"/>
  <c r="U703" i="4"/>
  <c r="V702" i="4"/>
  <c r="U702" i="4"/>
  <c r="V701" i="4"/>
  <c r="U701" i="4"/>
  <c r="V700" i="4"/>
  <c r="U700" i="4"/>
  <c r="V699" i="4"/>
  <c r="U699" i="4"/>
  <c r="V698" i="4"/>
  <c r="U698" i="4"/>
  <c r="V697" i="4"/>
  <c r="U697" i="4"/>
  <c r="V696" i="4"/>
  <c r="U696" i="4"/>
  <c r="V695" i="4"/>
  <c r="U695" i="4"/>
  <c r="V694" i="4"/>
  <c r="U694" i="4"/>
  <c r="V693" i="4"/>
  <c r="U693" i="4"/>
  <c r="V692" i="4"/>
  <c r="U692" i="4"/>
  <c r="V691" i="4"/>
  <c r="U691" i="4"/>
  <c r="V690" i="4"/>
  <c r="U690" i="4"/>
  <c r="V689" i="4"/>
  <c r="U689" i="4"/>
  <c r="V688" i="4"/>
  <c r="U688" i="4"/>
  <c r="V687" i="4"/>
  <c r="U687" i="4"/>
  <c r="V686" i="4"/>
  <c r="U686" i="4"/>
  <c r="V685" i="4"/>
  <c r="U685" i="4"/>
  <c r="V684" i="4"/>
  <c r="U684" i="4"/>
  <c r="V683" i="4"/>
  <c r="U683" i="4"/>
  <c r="V682" i="4"/>
  <c r="U682" i="4"/>
  <c r="V681" i="4"/>
  <c r="U681" i="4"/>
  <c r="V680" i="4"/>
  <c r="U680" i="4"/>
  <c r="V679" i="4"/>
  <c r="U679" i="4"/>
  <c r="V678" i="4"/>
  <c r="U678" i="4"/>
  <c r="V677" i="4"/>
  <c r="U677" i="4"/>
  <c r="V676" i="4"/>
  <c r="U676" i="4"/>
  <c r="V675" i="4"/>
  <c r="U675" i="4"/>
  <c r="V674" i="4"/>
  <c r="U674" i="4"/>
  <c r="V673" i="4"/>
  <c r="U673" i="4"/>
  <c r="V672" i="4"/>
  <c r="U672" i="4"/>
  <c r="V671" i="4"/>
  <c r="U671" i="4"/>
  <c r="V670" i="4"/>
  <c r="U670" i="4"/>
  <c r="V669" i="4"/>
  <c r="U669" i="4"/>
  <c r="V668" i="4"/>
  <c r="U668" i="4"/>
  <c r="V667" i="4"/>
  <c r="U667" i="4"/>
  <c r="V666" i="4"/>
  <c r="U666" i="4"/>
  <c r="V665" i="4"/>
  <c r="U665" i="4"/>
  <c r="V664" i="4"/>
  <c r="U664" i="4"/>
  <c r="V663" i="4"/>
  <c r="U663" i="4"/>
  <c r="V662" i="4"/>
  <c r="U662" i="4"/>
  <c r="V661" i="4"/>
  <c r="U661" i="4"/>
  <c r="V660" i="4"/>
  <c r="U660" i="4"/>
  <c r="V659" i="4"/>
  <c r="U659" i="4"/>
  <c r="V658" i="4"/>
  <c r="U658" i="4"/>
  <c r="V657" i="4"/>
  <c r="U657" i="4"/>
  <c r="V656" i="4"/>
  <c r="U656" i="4"/>
  <c r="V655" i="4"/>
  <c r="U655" i="4"/>
  <c r="V654" i="4"/>
  <c r="U654" i="4"/>
  <c r="V653" i="4"/>
  <c r="U653" i="4"/>
  <c r="V652" i="4"/>
  <c r="U652" i="4"/>
  <c r="V651" i="4"/>
  <c r="U651" i="4"/>
  <c r="V650" i="4"/>
  <c r="U650" i="4"/>
  <c r="V649" i="4"/>
  <c r="U649" i="4"/>
  <c r="V648" i="4"/>
  <c r="U648" i="4"/>
  <c r="V647" i="4"/>
  <c r="U647" i="4"/>
  <c r="V646" i="4"/>
  <c r="U646" i="4"/>
  <c r="V645" i="4"/>
  <c r="U645" i="4"/>
  <c r="V644" i="4"/>
  <c r="U644" i="4"/>
  <c r="V643" i="4"/>
  <c r="U643" i="4"/>
  <c r="V642" i="4"/>
  <c r="U642" i="4"/>
  <c r="V641" i="4"/>
  <c r="U641" i="4"/>
  <c r="V640" i="4"/>
  <c r="U640" i="4"/>
  <c r="V639" i="4"/>
  <c r="U639" i="4"/>
  <c r="V638" i="4"/>
  <c r="U638" i="4"/>
  <c r="V637" i="4"/>
  <c r="U637" i="4"/>
  <c r="V636" i="4"/>
  <c r="U636" i="4"/>
  <c r="V635" i="4"/>
  <c r="U635" i="4"/>
  <c r="V634" i="4"/>
  <c r="U634" i="4"/>
  <c r="V633" i="4"/>
  <c r="U633" i="4"/>
  <c r="V632" i="4"/>
  <c r="U632" i="4"/>
  <c r="V631" i="4"/>
  <c r="U631" i="4"/>
  <c r="V630" i="4"/>
  <c r="U630" i="4"/>
  <c r="V629" i="4"/>
  <c r="U629" i="4"/>
  <c r="V628" i="4"/>
  <c r="U628" i="4"/>
  <c r="V627" i="4"/>
  <c r="U627" i="4"/>
  <c r="V626" i="4"/>
  <c r="U626" i="4"/>
  <c r="V625" i="4"/>
  <c r="U625" i="4"/>
  <c r="V624" i="4"/>
  <c r="U624" i="4"/>
  <c r="V623" i="4"/>
  <c r="U623" i="4"/>
  <c r="V622" i="4"/>
  <c r="U622" i="4"/>
  <c r="V621" i="4"/>
  <c r="U621" i="4"/>
  <c r="V620" i="4"/>
  <c r="U620" i="4"/>
  <c r="V619" i="4"/>
  <c r="U619" i="4"/>
  <c r="V618" i="4"/>
  <c r="U618" i="4"/>
  <c r="V617" i="4"/>
  <c r="U617" i="4"/>
  <c r="V616" i="4"/>
  <c r="U616" i="4"/>
  <c r="V615" i="4"/>
  <c r="U615" i="4"/>
  <c r="V614" i="4"/>
  <c r="U614" i="4"/>
  <c r="V613" i="4"/>
  <c r="U613" i="4"/>
  <c r="V612" i="4"/>
  <c r="U612" i="4"/>
  <c r="V611" i="4"/>
  <c r="U611" i="4"/>
  <c r="V610" i="4"/>
  <c r="U610" i="4"/>
  <c r="V609" i="4"/>
  <c r="U609" i="4"/>
  <c r="V608" i="4"/>
  <c r="U608" i="4"/>
  <c r="V607" i="4"/>
  <c r="U607" i="4"/>
  <c r="V606" i="4"/>
  <c r="U606" i="4"/>
  <c r="V605" i="4"/>
  <c r="U605" i="4"/>
  <c r="V604" i="4"/>
  <c r="U604" i="4"/>
  <c r="V603" i="4"/>
  <c r="U603" i="4"/>
  <c r="V602" i="4"/>
  <c r="U602" i="4"/>
  <c r="V601" i="4"/>
  <c r="U601" i="4"/>
  <c r="V600" i="4"/>
  <c r="U600" i="4"/>
  <c r="V599" i="4"/>
  <c r="U599" i="4"/>
  <c r="V598" i="4"/>
  <c r="U598" i="4"/>
  <c r="V597" i="4"/>
  <c r="U597" i="4"/>
  <c r="V596" i="4"/>
  <c r="U596" i="4"/>
  <c r="V595" i="4"/>
  <c r="U595" i="4"/>
  <c r="V594" i="4"/>
  <c r="U594" i="4"/>
  <c r="V593" i="4"/>
  <c r="U593" i="4"/>
  <c r="V592" i="4"/>
  <c r="U592" i="4"/>
  <c r="V591" i="4"/>
  <c r="U591" i="4"/>
  <c r="V590" i="4"/>
  <c r="U590" i="4"/>
  <c r="V589" i="4"/>
  <c r="U589" i="4"/>
  <c r="V588" i="4"/>
  <c r="U588" i="4"/>
  <c r="V587" i="4"/>
  <c r="U587" i="4"/>
  <c r="V586" i="4"/>
  <c r="U586" i="4"/>
  <c r="V585" i="4"/>
  <c r="U585" i="4"/>
  <c r="V584" i="4"/>
  <c r="U584" i="4"/>
  <c r="V583" i="4"/>
  <c r="U583" i="4"/>
  <c r="V582" i="4"/>
  <c r="U582" i="4"/>
  <c r="V581" i="4"/>
  <c r="U581" i="4"/>
  <c r="V580" i="4"/>
  <c r="U580" i="4"/>
  <c r="V579" i="4"/>
  <c r="U579" i="4"/>
  <c r="V578" i="4"/>
  <c r="U578" i="4"/>
  <c r="V577" i="4"/>
  <c r="U577" i="4"/>
  <c r="V576" i="4"/>
  <c r="U576" i="4"/>
  <c r="V575" i="4"/>
  <c r="U575" i="4"/>
  <c r="V574" i="4"/>
  <c r="U574" i="4"/>
  <c r="V573" i="4"/>
  <c r="U573" i="4"/>
  <c r="V572" i="4"/>
  <c r="U572" i="4"/>
  <c r="V571" i="4"/>
  <c r="U571" i="4"/>
  <c r="V570" i="4"/>
  <c r="U570" i="4"/>
  <c r="V569" i="4"/>
  <c r="U569" i="4"/>
  <c r="V568" i="4"/>
  <c r="U568" i="4"/>
  <c r="V567" i="4"/>
  <c r="U567" i="4"/>
  <c r="V566" i="4"/>
  <c r="U566" i="4"/>
  <c r="V565" i="4"/>
  <c r="U565" i="4"/>
  <c r="V564" i="4"/>
  <c r="U564" i="4"/>
  <c r="V563" i="4"/>
  <c r="U563" i="4"/>
  <c r="V562" i="4"/>
  <c r="U562" i="4"/>
  <c r="V561" i="4"/>
  <c r="U561" i="4"/>
  <c r="V560" i="4"/>
  <c r="U560" i="4"/>
  <c r="V559" i="4"/>
  <c r="U559" i="4"/>
  <c r="V558" i="4"/>
  <c r="U558" i="4"/>
  <c r="V557" i="4"/>
  <c r="U557" i="4"/>
  <c r="V556" i="4"/>
  <c r="U556" i="4"/>
  <c r="V555" i="4"/>
  <c r="U555" i="4"/>
  <c r="V554" i="4"/>
  <c r="U554" i="4"/>
  <c r="V553" i="4"/>
  <c r="U553" i="4"/>
  <c r="V552" i="4"/>
  <c r="U552" i="4"/>
  <c r="V551" i="4"/>
  <c r="U551" i="4"/>
  <c r="V550" i="4"/>
  <c r="U550" i="4"/>
  <c r="V549" i="4"/>
  <c r="U549" i="4"/>
  <c r="V548" i="4"/>
  <c r="U548" i="4"/>
  <c r="V547" i="4"/>
  <c r="U547" i="4"/>
  <c r="V546" i="4"/>
  <c r="U546" i="4"/>
  <c r="V545" i="4"/>
  <c r="U545" i="4"/>
  <c r="V544" i="4"/>
  <c r="U544" i="4"/>
  <c r="V543" i="4"/>
  <c r="U543" i="4"/>
  <c r="V542" i="4"/>
  <c r="U542" i="4"/>
  <c r="V541" i="4"/>
  <c r="U541" i="4"/>
  <c r="V540" i="4"/>
  <c r="U540" i="4"/>
  <c r="V539" i="4"/>
  <c r="U539" i="4"/>
  <c r="V538" i="4"/>
  <c r="U538" i="4"/>
  <c r="V537" i="4"/>
  <c r="U537" i="4"/>
  <c r="V536" i="4"/>
  <c r="U536" i="4"/>
  <c r="V535" i="4"/>
  <c r="U535" i="4"/>
  <c r="V534" i="4"/>
  <c r="U534" i="4"/>
  <c r="V533" i="4"/>
  <c r="U533" i="4"/>
  <c r="V532" i="4"/>
  <c r="U532" i="4"/>
  <c r="V531" i="4"/>
  <c r="U531" i="4"/>
  <c r="V530" i="4"/>
  <c r="U530" i="4"/>
  <c r="V529" i="4"/>
  <c r="U529" i="4"/>
  <c r="V528" i="4"/>
  <c r="U528" i="4"/>
  <c r="V527" i="4"/>
  <c r="U527" i="4"/>
  <c r="V526" i="4"/>
  <c r="U526" i="4"/>
  <c r="V525" i="4"/>
  <c r="U525" i="4"/>
  <c r="V524" i="4"/>
  <c r="U524" i="4"/>
  <c r="V523" i="4"/>
  <c r="U523" i="4"/>
  <c r="V522" i="4"/>
  <c r="U522" i="4"/>
  <c r="V521" i="4"/>
  <c r="U521" i="4"/>
  <c r="V520" i="4"/>
  <c r="U520" i="4"/>
  <c r="V519" i="4"/>
  <c r="U519" i="4"/>
  <c r="V518" i="4"/>
  <c r="U518" i="4"/>
  <c r="V517" i="4"/>
  <c r="U517" i="4"/>
  <c r="V516" i="4"/>
  <c r="U516" i="4"/>
  <c r="V515" i="4"/>
  <c r="U515" i="4"/>
  <c r="V514" i="4"/>
  <c r="U514" i="4"/>
  <c r="V513" i="4"/>
  <c r="U513" i="4"/>
  <c r="V512" i="4"/>
  <c r="U512" i="4"/>
  <c r="V511" i="4"/>
  <c r="U511" i="4"/>
  <c r="V510" i="4"/>
  <c r="U510" i="4"/>
  <c r="V509" i="4"/>
  <c r="U509" i="4"/>
  <c r="V508" i="4"/>
  <c r="U508" i="4"/>
  <c r="V507" i="4"/>
  <c r="U507" i="4"/>
  <c r="V506" i="4"/>
  <c r="U506" i="4"/>
  <c r="V505" i="4"/>
  <c r="U505" i="4"/>
  <c r="V504" i="4"/>
  <c r="U504" i="4"/>
  <c r="V503" i="4"/>
  <c r="U503" i="4"/>
  <c r="V502" i="4"/>
  <c r="U502" i="4"/>
  <c r="V501" i="4"/>
  <c r="U501" i="4"/>
  <c r="V500" i="4"/>
  <c r="U500" i="4"/>
  <c r="V499" i="4"/>
  <c r="U499" i="4"/>
  <c r="V498" i="4"/>
  <c r="U498" i="4"/>
  <c r="V497" i="4"/>
  <c r="U497" i="4"/>
  <c r="V496" i="4"/>
  <c r="U496" i="4"/>
  <c r="V495" i="4"/>
  <c r="U495" i="4"/>
  <c r="V494" i="4"/>
  <c r="U494" i="4"/>
  <c r="V493" i="4"/>
  <c r="U493" i="4"/>
  <c r="V492" i="4"/>
  <c r="U492" i="4"/>
  <c r="V491" i="4"/>
  <c r="U491" i="4"/>
  <c r="V490" i="4"/>
  <c r="U490" i="4"/>
  <c r="V489" i="4"/>
  <c r="U489" i="4"/>
  <c r="V488" i="4"/>
  <c r="U488" i="4"/>
  <c r="V487" i="4"/>
  <c r="U487" i="4"/>
  <c r="V486" i="4"/>
  <c r="U486" i="4"/>
  <c r="V485" i="4"/>
  <c r="U485" i="4"/>
  <c r="V484" i="4"/>
  <c r="U484" i="4"/>
  <c r="V483" i="4"/>
  <c r="U483" i="4"/>
  <c r="V482" i="4"/>
  <c r="U482" i="4"/>
  <c r="V481" i="4"/>
  <c r="U481" i="4"/>
  <c r="V480" i="4"/>
  <c r="U480" i="4"/>
  <c r="V479" i="4"/>
  <c r="U479" i="4"/>
  <c r="V478" i="4"/>
  <c r="U478" i="4"/>
  <c r="V477" i="4"/>
  <c r="U477" i="4"/>
  <c r="V476" i="4"/>
  <c r="U476" i="4"/>
  <c r="V475" i="4"/>
  <c r="U475" i="4"/>
  <c r="V474" i="4"/>
  <c r="U474" i="4"/>
  <c r="V473" i="4"/>
  <c r="U473" i="4"/>
  <c r="V472" i="4"/>
  <c r="U472" i="4"/>
  <c r="V471" i="4"/>
  <c r="U471" i="4"/>
  <c r="V470" i="4"/>
  <c r="U470" i="4"/>
  <c r="V469" i="4"/>
  <c r="U469" i="4"/>
  <c r="V468" i="4"/>
  <c r="U468" i="4"/>
  <c r="V467" i="4"/>
  <c r="U467" i="4"/>
  <c r="V466" i="4"/>
  <c r="U466" i="4"/>
  <c r="V465" i="4"/>
  <c r="U465" i="4"/>
  <c r="V464" i="4"/>
  <c r="U464" i="4"/>
  <c r="V463" i="4"/>
  <c r="U463" i="4"/>
  <c r="V462" i="4"/>
  <c r="U462" i="4"/>
  <c r="V461" i="4"/>
  <c r="U461" i="4"/>
  <c r="V460" i="4"/>
  <c r="U460" i="4"/>
  <c r="V459" i="4"/>
  <c r="U459" i="4"/>
  <c r="V458" i="4"/>
  <c r="U458" i="4"/>
  <c r="V457" i="4"/>
  <c r="U457" i="4"/>
  <c r="V456" i="4"/>
  <c r="U456" i="4"/>
  <c r="V455" i="4"/>
  <c r="U455" i="4"/>
  <c r="V454" i="4"/>
  <c r="U454" i="4"/>
  <c r="V453" i="4"/>
  <c r="U453" i="4"/>
  <c r="V452" i="4"/>
  <c r="U452" i="4"/>
  <c r="V451" i="4"/>
  <c r="U451" i="4"/>
  <c r="V450" i="4"/>
  <c r="U450" i="4"/>
  <c r="V449" i="4"/>
  <c r="U449" i="4"/>
  <c r="V448" i="4"/>
  <c r="U448" i="4"/>
  <c r="V447" i="4"/>
  <c r="U447" i="4"/>
  <c r="V446" i="4"/>
  <c r="U446" i="4"/>
  <c r="V445" i="4"/>
  <c r="U445" i="4"/>
  <c r="V444" i="4"/>
  <c r="U444" i="4"/>
  <c r="V443" i="4"/>
  <c r="U443" i="4"/>
  <c r="V442" i="4"/>
  <c r="U442" i="4"/>
  <c r="V441" i="4"/>
  <c r="U441" i="4"/>
  <c r="V440" i="4"/>
  <c r="U440" i="4"/>
  <c r="V439" i="4"/>
  <c r="U439" i="4"/>
  <c r="V438" i="4"/>
  <c r="U438" i="4"/>
  <c r="V437" i="4"/>
  <c r="U437" i="4"/>
  <c r="V436" i="4"/>
  <c r="U436" i="4"/>
  <c r="V435" i="4"/>
  <c r="U435" i="4"/>
  <c r="V434" i="4"/>
  <c r="U434" i="4"/>
  <c r="V433" i="4"/>
  <c r="U433" i="4"/>
  <c r="V432" i="4"/>
  <c r="U432" i="4"/>
  <c r="V431" i="4"/>
  <c r="U431" i="4"/>
  <c r="V430" i="4"/>
  <c r="U430" i="4"/>
  <c r="V429" i="4"/>
  <c r="U429" i="4"/>
  <c r="V428" i="4"/>
  <c r="U428" i="4"/>
  <c r="V427" i="4"/>
  <c r="U427" i="4"/>
  <c r="V426" i="4"/>
  <c r="U426" i="4"/>
  <c r="V425" i="4"/>
  <c r="U425" i="4"/>
  <c r="V424" i="4"/>
  <c r="U424" i="4"/>
  <c r="V423" i="4"/>
  <c r="U423" i="4"/>
  <c r="V422" i="4"/>
  <c r="U422" i="4"/>
  <c r="V421" i="4"/>
  <c r="U421" i="4"/>
  <c r="V420" i="4"/>
  <c r="U420" i="4"/>
  <c r="V419" i="4"/>
  <c r="U419" i="4"/>
  <c r="V418" i="4"/>
  <c r="U418" i="4"/>
  <c r="V417" i="4"/>
  <c r="U417" i="4"/>
  <c r="V416" i="4"/>
  <c r="U416" i="4"/>
  <c r="V415" i="4"/>
  <c r="U415" i="4"/>
  <c r="V414" i="4"/>
  <c r="U414" i="4"/>
  <c r="V413" i="4"/>
  <c r="U413" i="4"/>
  <c r="V412" i="4"/>
  <c r="U412" i="4"/>
  <c r="V411" i="4"/>
  <c r="U411" i="4"/>
  <c r="V410" i="4"/>
  <c r="U410" i="4"/>
  <c r="V409" i="4"/>
  <c r="U409" i="4"/>
  <c r="V408" i="4"/>
  <c r="U408" i="4"/>
  <c r="V407" i="4"/>
  <c r="U407" i="4"/>
  <c r="V406" i="4"/>
  <c r="U406" i="4"/>
  <c r="V405" i="4"/>
  <c r="U405" i="4"/>
  <c r="V404" i="4"/>
  <c r="U404" i="4"/>
  <c r="V403" i="4"/>
  <c r="U403" i="4"/>
  <c r="V402" i="4"/>
  <c r="U402" i="4"/>
  <c r="V401" i="4"/>
  <c r="U401" i="4"/>
  <c r="V400" i="4"/>
  <c r="U400" i="4"/>
  <c r="V399" i="4"/>
  <c r="U399" i="4"/>
  <c r="V398" i="4"/>
  <c r="U398" i="4"/>
  <c r="V397" i="4"/>
  <c r="U397" i="4"/>
  <c r="V396" i="4"/>
  <c r="U396" i="4"/>
  <c r="V395" i="4"/>
  <c r="U395" i="4"/>
  <c r="V394" i="4"/>
  <c r="U394" i="4"/>
  <c r="V393" i="4"/>
  <c r="U393" i="4"/>
  <c r="V392" i="4"/>
  <c r="U392" i="4"/>
  <c r="V391" i="4"/>
  <c r="U391" i="4"/>
  <c r="V390" i="4"/>
  <c r="U390" i="4"/>
  <c r="V389" i="4"/>
  <c r="U389" i="4"/>
  <c r="V388" i="4"/>
  <c r="U388" i="4"/>
  <c r="V387" i="4"/>
  <c r="U387" i="4"/>
  <c r="V386" i="4"/>
  <c r="U386" i="4"/>
  <c r="V385" i="4"/>
  <c r="U385" i="4"/>
  <c r="V384" i="4"/>
  <c r="U384" i="4"/>
  <c r="V383" i="4"/>
  <c r="U383" i="4"/>
  <c r="V382" i="4"/>
  <c r="U382" i="4"/>
  <c r="V381" i="4"/>
  <c r="U381" i="4"/>
  <c r="V380" i="4"/>
  <c r="U380" i="4"/>
  <c r="V379" i="4"/>
  <c r="U379" i="4"/>
  <c r="V378" i="4"/>
  <c r="U378" i="4"/>
  <c r="V377" i="4"/>
  <c r="U377" i="4"/>
  <c r="V376" i="4"/>
  <c r="U376" i="4"/>
  <c r="V375" i="4"/>
  <c r="U375" i="4"/>
  <c r="V374" i="4"/>
  <c r="U374" i="4"/>
  <c r="V373" i="4"/>
  <c r="U373" i="4"/>
  <c r="V372" i="4"/>
  <c r="U372" i="4"/>
  <c r="V371" i="4"/>
  <c r="U371" i="4"/>
  <c r="V370" i="4"/>
  <c r="U370" i="4"/>
  <c r="V369" i="4"/>
  <c r="U369" i="4"/>
  <c r="V368" i="4"/>
  <c r="U368" i="4"/>
  <c r="V367" i="4"/>
  <c r="U367" i="4"/>
  <c r="V366" i="4"/>
  <c r="U366" i="4"/>
  <c r="V365" i="4"/>
  <c r="U365" i="4"/>
  <c r="V364" i="4"/>
  <c r="U364" i="4"/>
  <c r="V363" i="4"/>
  <c r="U363" i="4"/>
  <c r="V362" i="4"/>
  <c r="U362" i="4"/>
  <c r="V361" i="4"/>
  <c r="U361" i="4"/>
  <c r="V360" i="4"/>
  <c r="U360" i="4"/>
  <c r="V359" i="4"/>
  <c r="U359" i="4"/>
  <c r="V358" i="4"/>
  <c r="U358" i="4"/>
  <c r="V357" i="4"/>
  <c r="U357" i="4"/>
  <c r="V356" i="4"/>
  <c r="U356" i="4"/>
  <c r="V355" i="4"/>
  <c r="U355" i="4"/>
  <c r="V354" i="4"/>
  <c r="U354" i="4"/>
  <c r="V353" i="4"/>
  <c r="U353" i="4"/>
  <c r="V352" i="4"/>
  <c r="U352" i="4"/>
  <c r="V351" i="4"/>
  <c r="U351" i="4"/>
  <c r="V350" i="4"/>
  <c r="U350" i="4"/>
  <c r="V349" i="4"/>
  <c r="U349" i="4"/>
  <c r="V348" i="4"/>
  <c r="U348" i="4"/>
  <c r="V347" i="4"/>
  <c r="U347" i="4"/>
  <c r="V346" i="4"/>
  <c r="U346" i="4"/>
  <c r="V345" i="4"/>
  <c r="U345" i="4"/>
  <c r="V344" i="4"/>
  <c r="U344" i="4"/>
  <c r="V343" i="4"/>
  <c r="U343" i="4"/>
  <c r="V342" i="4"/>
  <c r="U342" i="4"/>
  <c r="V341" i="4"/>
  <c r="U341" i="4"/>
  <c r="V340" i="4"/>
  <c r="U340" i="4"/>
  <c r="V339" i="4"/>
  <c r="U339" i="4"/>
  <c r="V338" i="4"/>
  <c r="U338" i="4"/>
  <c r="V337" i="4"/>
  <c r="U337" i="4"/>
  <c r="V336" i="4"/>
  <c r="U336" i="4"/>
  <c r="V335" i="4"/>
  <c r="U335" i="4"/>
  <c r="V334" i="4"/>
  <c r="U334" i="4"/>
  <c r="V333" i="4"/>
  <c r="U333" i="4"/>
  <c r="V332" i="4"/>
  <c r="U332" i="4"/>
  <c r="V331" i="4"/>
  <c r="U331" i="4"/>
  <c r="V330" i="4"/>
  <c r="U330" i="4"/>
  <c r="V329" i="4"/>
  <c r="U329" i="4"/>
  <c r="V328" i="4"/>
  <c r="U328" i="4"/>
  <c r="V327" i="4"/>
  <c r="U327" i="4"/>
  <c r="V326" i="4"/>
  <c r="U326" i="4"/>
  <c r="V325" i="4"/>
  <c r="U325" i="4"/>
  <c r="V324" i="4"/>
  <c r="U324" i="4"/>
  <c r="V323" i="4"/>
  <c r="U323" i="4"/>
  <c r="V322" i="4"/>
  <c r="U322" i="4"/>
  <c r="V321" i="4"/>
  <c r="U321" i="4"/>
  <c r="V320" i="4"/>
  <c r="U320" i="4"/>
  <c r="V319" i="4"/>
  <c r="U319" i="4"/>
  <c r="V318" i="4"/>
  <c r="U318" i="4"/>
  <c r="V317" i="4"/>
  <c r="U317" i="4"/>
  <c r="V316" i="4"/>
  <c r="U316" i="4"/>
  <c r="V315" i="4"/>
  <c r="U315" i="4"/>
  <c r="V314" i="4"/>
  <c r="U314" i="4"/>
  <c r="V313" i="4"/>
  <c r="U313" i="4"/>
  <c r="V312" i="4"/>
  <c r="U312" i="4"/>
  <c r="V311" i="4"/>
  <c r="U311" i="4"/>
  <c r="V310" i="4"/>
  <c r="U310" i="4"/>
  <c r="V309" i="4"/>
  <c r="U309" i="4"/>
  <c r="V308" i="4"/>
  <c r="U308" i="4"/>
  <c r="V307" i="4"/>
  <c r="U307" i="4"/>
  <c r="V306" i="4"/>
  <c r="U306" i="4"/>
  <c r="V305" i="4"/>
  <c r="U305" i="4"/>
  <c r="V304" i="4"/>
  <c r="U304" i="4"/>
  <c r="V303" i="4"/>
  <c r="U303" i="4"/>
  <c r="V302" i="4"/>
  <c r="U302" i="4"/>
  <c r="V301" i="4"/>
  <c r="U301" i="4"/>
  <c r="V300" i="4"/>
  <c r="U300" i="4"/>
  <c r="V299" i="4"/>
  <c r="U299" i="4"/>
  <c r="V298" i="4"/>
  <c r="U298" i="4"/>
  <c r="V297" i="4"/>
  <c r="U297" i="4"/>
  <c r="V296" i="4"/>
  <c r="U296" i="4"/>
  <c r="V295" i="4"/>
  <c r="U295" i="4"/>
  <c r="V294" i="4"/>
  <c r="U294" i="4"/>
  <c r="V293" i="4"/>
  <c r="U293" i="4"/>
  <c r="V292" i="4"/>
  <c r="U292" i="4"/>
  <c r="V291" i="4"/>
  <c r="U291" i="4"/>
  <c r="V290" i="4"/>
  <c r="U290" i="4"/>
  <c r="V289" i="4"/>
  <c r="U289" i="4"/>
  <c r="V288" i="4"/>
  <c r="U288" i="4"/>
  <c r="V287" i="4"/>
  <c r="U287" i="4"/>
  <c r="V286" i="4"/>
  <c r="U286" i="4"/>
  <c r="V285" i="4"/>
  <c r="U285" i="4"/>
  <c r="V284" i="4"/>
  <c r="U284" i="4"/>
  <c r="V283" i="4"/>
  <c r="U283" i="4"/>
  <c r="V282" i="4"/>
  <c r="U282" i="4"/>
  <c r="V281" i="4"/>
  <c r="U281" i="4"/>
  <c r="V280" i="4"/>
  <c r="U280" i="4"/>
  <c r="V279" i="4"/>
  <c r="U279" i="4"/>
  <c r="V278" i="4"/>
  <c r="U278" i="4"/>
  <c r="V277" i="4"/>
  <c r="U277" i="4"/>
  <c r="V276" i="4"/>
  <c r="U276" i="4"/>
  <c r="V275" i="4"/>
  <c r="U275" i="4"/>
  <c r="V274" i="4"/>
  <c r="U274" i="4"/>
  <c r="V273" i="4"/>
  <c r="U273" i="4"/>
  <c r="V272" i="4"/>
  <c r="U272" i="4"/>
  <c r="V271" i="4"/>
  <c r="U271" i="4"/>
  <c r="V270" i="4"/>
  <c r="U270" i="4"/>
  <c r="V269" i="4"/>
  <c r="U269" i="4"/>
  <c r="V268" i="4"/>
  <c r="U268" i="4"/>
  <c r="V267" i="4"/>
  <c r="U267" i="4"/>
  <c r="V266" i="4"/>
  <c r="U266" i="4"/>
  <c r="V265" i="4"/>
  <c r="U265" i="4"/>
  <c r="V264" i="4"/>
  <c r="U264" i="4"/>
  <c r="V263" i="4"/>
  <c r="U263" i="4"/>
  <c r="V262" i="4"/>
  <c r="U262" i="4"/>
  <c r="V261" i="4"/>
  <c r="U261" i="4"/>
  <c r="V260" i="4"/>
  <c r="U260" i="4"/>
  <c r="V259" i="4"/>
  <c r="U259" i="4"/>
  <c r="V258" i="4"/>
  <c r="U258" i="4"/>
  <c r="V257" i="4"/>
  <c r="U257" i="4"/>
  <c r="V256" i="4"/>
  <c r="U256" i="4"/>
  <c r="V255" i="4"/>
  <c r="U255" i="4"/>
  <c r="V254" i="4"/>
  <c r="U254" i="4"/>
  <c r="V253" i="4"/>
  <c r="U253" i="4"/>
  <c r="V252" i="4"/>
  <c r="U252" i="4"/>
  <c r="V251" i="4"/>
  <c r="U251" i="4"/>
  <c r="V250" i="4"/>
  <c r="U250" i="4"/>
  <c r="V249" i="4"/>
  <c r="U249" i="4"/>
  <c r="V248" i="4"/>
  <c r="U248" i="4"/>
  <c r="V247" i="4"/>
  <c r="U247" i="4"/>
  <c r="V246" i="4"/>
  <c r="U246" i="4"/>
  <c r="V245" i="4"/>
  <c r="U245" i="4"/>
  <c r="V244" i="4"/>
  <c r="U244" i="4"/>
  <c r="V243" i="4"/>
  <c r="U243" i="4"/>
  <c r="V242" i="4"/>
  <c r="U242" i="4"/>
  <c r="V241" i="4"/>
  <c r="U241" i="4"/>
  <c r="V240" i="4"/>
  <c r="U240" i="4"/>
  <c r="V239" i="4"/>
  <c r="U239" i="4"/>
  <c r="V238" i="4"/>
  <c r="U238" i="4"/>
  <c r="V237" i="4"/>
  <c r="U237" i="4"/>
  <c r="V236" i="4"/>
  <c r="U236" i="4"/>
  <c r="V235" i="4"/>
  <c r="U235" i="4"/>
  <c r="V234" i="4"/>
  <c r="U234" i="4"/>
  <c r="V233" i="4"/>
  <c r="U233" i="4"/>
  <c r="V232" i="4"/>
  <c r="U232" i="4"/>
  <c r="V231" i="4"/>
  <c r="U231" i="4"/>
  <c r="V230" i="4"/>
  <c r="U230" i="4"/>
  <c r="V229" i="4"/>
  <c r="U229" i="4"/>
  <c r="V228" i="4"/>
  <c r="U228" i="4"/>
  <c r="V227" i="4"/>
  <c r="U227" i="4"/>
  <c r="V226" i="4"/>
  <c r="U226" i="4"/>
  <c r="V225" i="4"/>
  <c r="U225" i="4"/>
  <c r="V224" i="4"/>
  <c r="U224" i="4"/>
  <c r="V223" i="4"/>
  <c r="U223" i="4"/>
  <c r="V222" i="4"/>
  <c r="U222" i="4"/>
  <c r="V221" i="4"/>
  <c r="U221" i="4"/>
  <c r="V220" i="4"/>
  <c r="U220" i="4"/>
  <c r="V219" i="4"/>
  <c r="U219" i="4"/>
  <c r="V218" i="4"/>
  <c r="U218" i="4"/>
  <c r="V217" i="4"/>
  <c r="U217" i="4"/>
  <c r="V216" i="4"/>
  <c r="U216" i="4"/>
  <c r="V215" i="4"/>
  <c r="U215" i="4"/>
  <c r="V214" i="4"/>
  <c r="U214" i="4"/>
  <c r="V213" i="4"/>
  <c r="U213" i="4"/>
  <c r="V212" i="4"/>
  <c r="U212" i="4"/>
  <c r="V211" i="4"/>
  <c r="U211" i="4"/>
  <c r="V210" i="4"/>
  <c r="U210" i="4"/>
  <c r="V209" i="4"/>
  <c r="U209" i="4"/>
  <c r="V208" i="4"/>
  <c r="U208" i="4"/>
  <c r="V207" i="4"/>
  <c r="U207" i="4"/>
  <c r="V206" i="4"/>
  <c r="U206" i="4"/>
  <c r="V205" i="4"/>
  <c r="U205" i="4"/>
  <c r="V204" i="4"/>
  <c r="U204" i="4"/>
  <c r="V203" i="4"/>
  <c r="U203" i="4"/>
  <c r="V202" i="4"/>
  <c r="U202" i="4"/>
  <c r="V201" i="4"/>
  <c r="U201" i="4"/>
  <c r="V200" i="4"/>
  <c r="U200" i="4"/>
  <c r="V199" i="4"/>
  <c r="U199" i="4"/>
  <c r="V198" i="4"/>
  <c r="U198" i="4"/>
  <c r="V197" i="4"/>
  <c r="U197" i="4"/>
  <c r="V196" i="4"/>
  <c r="U196" i="4"/>
  <c r="V195" i="4"/>
  <c r="U195" i="4"/>
  <c r="V194" i="4"/>
  <c r="U194" i="4"/>
  <c r="V193" i="4"/>
  <c r="U193" i="4"/>
  <c r="V192" i="4"/>
  <c r="U192" i="4"/>
  <c r="V191" i="4"/>
  <c r="U191" i="4"/>
  <c r="V190" i="4"/>
  <c r="U190" i="4"/>
  <c r="V189" i="4"/>
  <c r="U189" i="4"/>
  <c r="V188" i="4"/>
  <c r="U188" i="4"/>
  <c r="V187" i="4"/>
  <c r="U187" i="4"/>
  <c r="V186" i="4"/>
  <c r="U186" i="4"/>
  <c r="V185" i="4"/>
  <c r="U185" i="4"/>
  <c r="V184" i="4"/>
  <c r="U184" i="4"/>
  <c r="V183" i="4"/>
  <c r="U183" i="4"/>
  <c r="V182" i="4"/>
  <c r="U182" i="4"/>
  <c r="V181" i="4"/>
  <c r="U181" i="4"/>
  <c r="V180" i="4"/>
  <c r="U180" i="4"/>
  <c r="V179" i="4"/>
  <c r="U179" i="4"/>
  <c r="V178" i="4"/>
  <c r="U178" i="4"/>
  <c r="V177" i="4"/>
  <c r="U177" i="4"/>
  <c r="V176" i="4"/>
  <c r="U176" i="4"/>
  <c r="V175" i="4"/>
  <c r="U175" i="4"/>
  <c r="V174" i="4"/>
  <c r="U174" i="4"/>
  <c r="V173" i="4"/>
  <c r="U173" i="4"/>
  <c r="V172" i="4"/>
  <c r="U172" i="4"/>
  <c r="V171" i="4"/>
  <c r="U171" i="4"/>
  <c r="V170" i="4"/>
  <c r="U170" i="4"/>
  <c r="V169" i="4"/>
  <c r="U169" i="4"/>
  <c r="V168" i="4"/>
  <c r="U168" i="4"/>
  <c r="V167" i="4"/>
  <c r="U167" i="4"/>
  <c r="V166" i="4"/>
  <c r="U166" i="4"/>
  <c r="V165" i="4"/>
  <c r="U165" i="4"/>
  <c r="V164" i="4"/>
  <c r="U164" i="4"/>
  <c r="V163" i="4"/>
  <c r="U163" i="4"/>
  <c r="V162" i="4"/>
  <c r="U162" i="4"/>
  <c r="V161" i="4"/>
  <c r="U161" i="4"/>
  <c r="V160" i="4"/>
  <c r="U160" i="4"/>
  <c r="V159" i="4"/>
  <c r="U159" i="4"/>
  <c r="V158" i="4"/>
  <c r="U158" i="4"/>
  <c r="V157" i="4"/>
  <c r="U157" i="4"/>
  <c r="V156" i="4"/>
  <c r="U156" i="4"/>
  <c r="V155" i="4"/>
  <c r="U155" i="4"/>
  <c r="V154" i="4"/>
  <c r="U154" i="4"/>
  <c r="V153" i="4"/>
  <c r="U153" i="4"/>
  <c r="V152" i="4"/>
  <c r="U152" i="4"/>
  <c r="V151" i="4"/>
  <c r="U151" i="4"/>
  <c r="V150" i="4"/>
  <c r="U150" i="4"/>
  <c r="V149" i="4"/>
  <c r="U149" i="4"/>
  <c r="V148" i="4"/>
  <c r="U148" i="4"/>
  <c r="V147" i="4"/>
  <c r="U147" i="4"/>
  <c r="V146" i="4"/>
  <c r="U146" i="4"/>
  <c r="V145" i="4"/>
  <c r="U145" i="4"/>
  <c r="V144" i="4"/>
  <c r="U144" i="4"/>
  <c r="V143" i="4"/>
  <c r="U143" i="4"/>
  <c r="V142" i="4"/>
  <c r="U142" i="4"/>
  <c r="V141" i="4"/>
  <c r="U141" i="4"/>
  <c r="V140" i="4"/>
  <c r="U140" i="4"/>
  <c r="V139" i="4"/>
  <c r="U139" i="4"/>
  <c r="V138" i="4"/>
  <c r="U138" i="4"/>
  <c r="V137" i="4"/>
  <c r="U137" i="4"/>
  <c r="V136" i="4"/>
  <c r="U136" i="4"/>
  <c r="V135" i="4"/>
  <c r="U135" i="4"/>
  <c r="V134" i="4"/>
  <c r="U134" i="4"/>
  <c r="V133" i="4"/>
  <c r="U133" i="4"/>
  <c r="V132" i="4"/>
  <c r="U132" i="4"/>
  <c r="V131" i="4"/>
  <c r="U131" i="4"/>
  <c r="V130" i="4"/>
  <c r="U130" i="4"/>
  <c r="V129" i="4"/>
  <c r="U129" i="4"/>
  <c r="V128" i="4"/>
  <c r="U128" i="4"/>
  <c r="V127" i="4"/>
  <c r="U127" i="4"/>
  <c r="V126" i="4"/>
  <c r="U126" i="4"/>
  <c r="V125" i="4"/>
  <c r="U125" i="4"/>
  <c r="V124" i="4"/>
  <c r="U124" i="4"/>
  <c r="V123" i="4"/>
  <c r="U123" i="4"/>
  <c r="V122" i="4"/>
  <c r="U122" i="4"/>
  <c r="V121" i="4"/>
  <c r="U121" i="4"/>
  <c r="V120" i="4"/>
  <c r="U120" i="4"/>
  <c r="V119" i="4"/>
  <c r="U119" i="4"/>
  <c r="V118" i="4"/>
  <c r="U118" i="4"/>
  <c r="V117" i="4"/>
  <c r="U117" i="4"/>
  <c r="V116" i="4"/>
  <c r="U116" i="4"/>
  <c r="V115" i="4"/>
  <c r="U115" i="4"/>
  <c r="V114" i="4"/>
  <c r="U114" i="4"/>
  <c r="V113" i="4"/>
  <c r="U113" i="4"/>
  <c r="V112" i="4"/>
  <c r="U112" i="4"/>
  <c r="V111" i="4"/>
  <c r="U111" i="4"/>
  <c r="V110" i="4"/>
  <c r="U110" i="4"/>
  <c r="V109" i="4"/>
  <c r="U109" i="4"/>
  <c r="V108" i="4"/>
  <c r="U108" i="4"/>
  <c r="V107" i="4"/>
  <c r="U107" i="4"/>
  <c r="V106" i="4"/>
  <c r="U106" i="4"/>
  <c r="V105" i="4"/>
  <c r="U105" i="4"/>
  <c r="V104" i="4"/>
  <c r="U104" i="4"/>
  <c r="V103" i="4"/>
  <c r="U103" i="4"/>
  <c r="V102" i="4"/>
  <c r="U102" i="4"/>
  <c r="V101" i="4"/>
  <c r="U101" i="4"/>
  <c r="V100" i="4"/>
  <c r="U100" i="4"/>
  <c r="V99" i="4"/>
  <c r="U99" i="4"/>
  <c r="V98" i="4"/>
  <c r="U98" i="4"/>
  <c r="V97" i="4"/>
  <c r="U97" i="4"/>
  <c r="V96" i="4"/>
  <c r="U96" i="4"/>
  <c r="V95" i="4"/>
  <c r="U95" i="4"/>
  <c r="V94" i="4"/>
  <c r="U94" i="4"/>
  <c r="V93" i="4"/>
  <c r="U93" i="4"/>
  <c r="V92" i="4"/>
  <c r="U92" i="4"/>
  <c r="V91" i="4"/>
  <c r="U91" i="4"/>
  <c r="V90" i="4"/>
  <c r="U90" i="4"/>
  <c r="V89" i="4"/>
  <c r="U89" i="4"/>
  <c r="V88" i="4"/>
  <c r="U88" i="4"/>
  <c r="V87" i="4"/>
  <c r="U87" i="4"/>
  <c r="V86" i="4"/>
  <c r="U86" i="4"/>
  <c r="V85" i="4"/>
  <c r="U85" i="4"/>
  <c r="V84" i="4"/>
  <c r="U84" i="4"/>
  <c r="V83" i="4"/>
  <c r="U83" i="4"/>
  <c r="V82" i="4"/>
  <c r="U82" i="4"/>
  <c r="V81" i="4"/>
  <c r="U81" i="4"/>
  <c r="V80" i="4"/>
  <c r="U80" i="4"/>
  <c r="V79" i="4"/>
  <c r="U79" i="4"/>
  <c r="V78" i="4"/>
  <c r="U78" i="4"/>
  <c r="V77" i="4"/>
  <c r="U77" i="4"/>
  <c r="V76" i="4"/>
  <c r="U76" i="4"/>
  <c r="V75" i="4"/>
  <c r="U75" i="4"/>
  <c r="V74" i="4"/>
  <c r="U74" i="4"/>
  <c r="V73" i="4"/>
  <c r="U73" i="4"/>
  <c r="V72" i="4"/>
  <c r="U72" i="4"/>
  <c r="V71" i="4"/>
  <c r="U71" i="4"/>
  <c r="V70" i="4"/>
  <c r="U70" i="4"/>
  <c r="V69" i="4"/>
  <c r="U69" i="4"/>
  <c r="V68" i="4"/>
  <c r="U68" i="4"/>
  <c r="V67" i="4"/>
  <c r="U67" i="4"/>
  <c r="V66" i="4"/>
  <c r="U66" i="4"/>
  <c r="V65" i="4"/>
  <c r="U65" i="4"/>
  <c r="V64" i="4"/>
  <c r="U64" i="4"/>
  <c r="V63" i="4"/>
  <c r="U63" i="4"/>
  <c r="V62" i="4"/>
  <c r="U62" i="4"/>
  <c r="V61" i="4"/>
  <c r="U61" i="4"/>
  <c r="V60" i="4"/>
  <c r="U60" i="4"/>
  <c r="V59" i="4"/>
  <c r="U59" i="4"/>
  <c r="V58" i="4"/>
  <c r="U58" i="4"/>
  <c r="V57" i="4"/>
  <c r="U57" i="4"/>
  <c r="V56" i="4"/>
  <c r="U56" i="4"/>
  <c r="V55" i="4"/>
  <c r="U55" i="4"/>
  <c r="V54" i="4"/>
  <c r="U54" i="4"/>
  <c r="V53" i="4"/>
  <c r="U53" i="4"/>
  <c r="V52" i="4"/>
  <c r="U52" i="4"/>
  <c r="V51" i="4"/>
  <c r="U51" i="4"/>
  <c r="V50" i="4"/>
  <c r="U50" i="4"/>
  <c r="V49" i="4"/>
  <c r="U49" i="4"/>
  <c r="V48" i="4"/>
  <c r="U48" i="4"/>
  <c r="V47" i="4"/>
  <c r="U47" i="4"/>
  <c r="V46" i="4"/>
  <c r="U46" i="4"/>
  <c r="V45" i="4"/>
  <c r="U45" i="4"/>
  <c r="V44" i="4"/>
  <c r="U44" i="4"/>
  <c r="V43" i="4"/>
  <c r="U43" i="4"/>
  <c r="V42" i="4"/>
  <c r="U42" i="4"/>
  <c r="V41" i="4"/>
  <c r="U41" i="4"/>
  <c r="V40" i="4"/>
  <c r="U40" i="4"/>
  <c r="V39" i="4"/>
  <c r="U39" i="4"/>
  <c r="V38" i="4"/>
  <c r="U38" i="4"/>
  <c r="V37" i="4"/>
  <c r="U37" i="4"/>
  <c r="V36" i="4"/>
  <c r="U36" i="4"/>
  <c r="V35" i="4"/>
  <c r="U35" i="4"/>
  <c r="V34" i="4"/>
  <c r="U34" i="4"/>
  <c r="V33" i="4"/>
  <c r="U33" i="4"/>
  <c r="V32" i="4"/>
  <c r="U32" i="4"/>
  <c r="V31" i="4"/>
  <c r="U31" i="4"/>
  <c r="V30" i="4"/>
  <c r="U30" i="4"/>
  <c r="V29" i="4"/>
  <c r="U29" i="4"/>
  <c r="V28" i="4"/>
  <c r="U28" i="4"/>
  <c r="V27" i="4"/>
  <c r="U27" i="4"/>
  <c r="V26" i="4"/>
  <c r="U26" i="4"/>
  <c r="V25" i="4"/>
  <c r="U25" i="4"/>
  <c r="V24" i="4"/>
  <c r="U24" i="4"/>
  <c r="V23" i="4"/>
  <c r="U23" i="4"/>
  <c r="V22" i="4"/>
  <c r="U22" i="4"/>
  <c r="V21" i="4"/>
  <c r="U21" i="4"/>
  <c r="V20" i="4"/>
  <c r="U20" i="4"/>
  <c r="V19" i="4"/>
  <c r="U19" i="4"/>
  <c r="V18" i="4"/>
  <c r="U18" i="4"/>
  <c r="V17" i="4"/>
  <c r="U17" i="4"/>
  <c r="V16" i="4"/>
  <c r="U16" i="4"/>
  <c r="V15" i="4"/>
  <c r="U15" i="4"/>
  <c r="V14" i="4"/>
  <c r="U14" i="4"/>
  <c r="V13" i="4"/>
  <c r="U13" i="4"/>
  <c r="V12" i="4"/>
  <c r="U12" i="4"/>
  <c r="V11" i="4"/>
  <c r="U11" i="4"/>
  <c r="V10" i="4"/>
  <c r="U10" i="4"/>
  <c r="V9" i="4"/>
  <c r="U9" i="4"/>
  <c r="V8" i="4"/>
  <c r="U8" i="4"/>
  <c r="V7" i="4"/>
  <c r="U7" i="4"/>
  <c r="V6" i="4"/>
  <c r="U6" i="4"/>
  <c r="V5" i="4"/>
  <c r="U5" i="4"/>
  <c r="V4" i="4"/>
  <c r="U4" i="4"/>
  <c r="V3" i="4"/>
  <c r="U3" i="4"/>
  <c r="BF7" i="1"/>
  <c r="BG3" i="1"/>
  <c r="BF11" i="1"/>
  <c r="BG11" i="1"/>
  <c r="BF9" i="1"/>
  <c r="BG5" i="1"/>
  <c r="BF3" i="1"/>
  <c r="BG7" i="1"/>
  <c r="BF8" i="1"/>
  <c r="BG2" i="1"/>
  <c r="BG6" i="1"/>
  <c r="BG9" i="1"/>
  <c r="BF4" i="1"/>
  <c r="BF13" i="1"/>
  <c r="BG10" i="1"/>
  <c r="BF5" i="1"/>
  <c r="BF12" i="1"/>
  <c r="BG4" i="1"/>
  <c r="BF2" i="1"/>
  <c r="BF10" i="1"/>
  <c r="BG8" i="1"/>
  <c r="BF6" i="1"/>
  <c r="G87" i="1" l="1"/>
  <c r="G88" i="1"/>
  <c r="G80" i="1"/>
  <c r="F75" i="1"/>
  <c r="F76" i="1"/>
  <c r="BN10" i="1"/>
  <c r="BN11" i="1"/>
  <c r="BH2" i="1"/>
  <c r="BH13" i="1"/>
  <c r="BH8" i="1"/>
  <c r="BH12" i="1"/>
  <c r="BH6" i="1"/>
  <c r="BH5" i="1"/>
  <c r="BH9" i="1"/>
  <c r="BH3" i="1"/>
  <c r="BH10" i="1"/>
  <c r="BH4" i="1"/>
  <c r="BH7" i="1"/>
  <c r="BH11" i="1"/>
  <c r="C87" i="1"/>
  <c r="E84" i="1"/>
  <c r="E88" i="1"/>
  <c r="H87" i="1"/>
  <c r="H80" i="1"/>
  <c r="H84" i="1"/>
  <c r="H88" i="1"/>
  <c r="J35" i="1"/>
  <c r="J47" i="1"/>
  <c r="AA2406" i="4"/>
  <c r="AA2405" i="4"/>
  <c r="AA2404" i="4"/>
  <c r="AA2403" i="4"/>
  <c r="AA2402" i="4"/>
  <c r="AA2401" i="4"/>
  <c r="AA2400" i="4"/>
  <c r="AA2399" i="4"/>
  <c r="AA2398" i="4"/>
  <c r="AA2397" i="4"/>
  <c r="AA2396" i="4"/>
  <c r="AA2395" i="4"/>
  <c r="AA2394" i="4"/>
  <c r="AA2393" i="4"/>
  <c r="AA2392" i="4"/>
  <c r="AA2391" i="4"/>
  <c r="AA2390" i="4"/>
  <c r="AA2389" i="4"/>
  <c r="AA2388" i="4"/>
  <c r="AA2387" i="4"/>
  <c r="AA2386" i="4"/>
  <c r="AA2385" i="4"/>
  <c r="AA2384" i="4"/>
  <c r="AA2383" i="4"/>
  <c r="AA2382" i="4"/>
  <c r="AA2381" i="4"/>
  <c r="AA2380" i="4"/>
  <c r="AA2379" i="4"/>
  <c r="AA2378" i="4"/>
  <c r="AA2377" i="4"/>
  <c r="AA2376" i="4"/>
  <c r="AA2375" i="4"/>
  <c r="AA2374" i="4"/>
  <c r="AA2373" i="4"/>
  <c r="AA2372" i="4"/>
  <c r="AA2371" i="4"/>
  <c r="AA2370" i="4"/>
  <c r="AA2369" i="4"/>
  <c r="AA2368" i="4"/>
  <c r="AA2367" i="4"/>
  <c r="AA2366" i="4"/>
  <c r="AA2365" i="4"/>
  <c r="AA2364" i="4"/>
  <c r="AA2363" i="4"/>
  <c r="AA2362" i="4"/>
  <c r="AA2361" i="4"/>
  <c r="AA2360" i="4"/>
  <c r="AA2359" i="4"/>
  <c r="AA2358" i="4"/>
  <c r="AA2357" i="4"/>
  <c r="AA2356" i="4"/>
  <c r="AA2355" i="4"/>
  <c r="AA2354" i="4"/>
  <c r="AA2353" i="4"/>
  <c r="AA2352" i="4"/>
  <c r="AA2351" i="4"/>
  <c r="AA2350" i="4"/>
  <c r="AA2349" i="4"/>
  <c r="AA2348" i="4"/>
  <c r="AA2347" i="4"/>
  <c r="AA2346" i="4"/>
  <c r="AA2345" i="4"/>
  <c r="AA2344" i="4"/>
  <c r="AA2343" i="4"/>
  <c r="AA2342" i="4"/>
  <c r="AA2341" i="4"/>
  <c r="AA2340" i="4"/>
  <c r="AA2339" i="4"/>
  <c r="AA2338" i="4"/>
  <c r="AA2337" i="4"/>
  <c r="AA2336" i="4"/>
  <c r="AA2335" i="4"/>
  <c r="AA2334" i="4"/>
  <c r="AA2333" i="4"/>
  <c r="AA2332" i="4"/>
  <c r="AA2331" i="4"/>
  <c r="AA2330" i="4"/>
  <c r="AA2329" i="4"/>
  <c r="AA2328" i="4"/>
  <c r="AA2327" i="4"/>
  <c r="AA2326" i="4"/>
  <c r="AA2325" i="4"/>
  <c r="AA2324" i="4"/>
  <c r="AA2323" i="4"/>
  <c r="AA2322" i="4"/>
  <c r="AA2321" i="4"/>
  <c r="AA2320" i="4"/>
  <c r="AA2319" i="4"/>
  <c r="AA2318" i="4"/>
  <c r="AA2317" i="4"/>
  <c r="AA2316" i="4"/>
  <c r="AA2315" i="4"/>
  <c r="AA2314" i="4"/>
  <c r="AA2313" i="4"/>
  <c r="AA2312" i="4"/>
  <c r="AA2311" i="4"/>
  <c r="AA2310" i="4"/>
  <c r="AA2309" i="4"/>
  <c r="H11" i="4" s="1"/>
  <c r="AA2308" i="4"/>
  <c r="AA2307" i="4"/>
  <c r="AA2306" i="4"/>
  <c r="AA2305" i="4"/>
  <c r="AA2304" i="4"/>
  <c r="AA2303" i="4"/>
  <c r="AA2302" i="4"/>
  <c r="AA2301" i="4"/>
  <c r="AA2300" i="4"/>
  <c r="AA2299" i="4"/>
  <c r="AA2298" i="4"/>
  <c r="AA2297" i="4"/>
  <c r="AA2296" i="4"/>
  <c r="AA2295" i="4"/>
  <c r="AA2294" i="4"/>
  <c r="AA2293" i="4"/>
  <c r="AA2292" i="4"/>
  <c r="AA2291" i="4"/>
  <c r="AA2290" i="4"/>
  <c r="AA2289" i="4"/>
  <c r="AA2288" i="4"/>
  <c r="AA2287" i="4"/>
  <c r="AA2286" i="4"/>
  <c r="AA2285" i="4"/>
  <c r="AA2284" i="4"/>
  <c r="AA2283" i="4"/>
  <c r="AA2282" i="4"/>
  <c r="AA2281" i="4"/>
  <c r="AA2280" i="4"/>
  <c r="AA2279" i="4"/>
  <c r="AA2278" i="4"/>
  <c r="AA2277" i="4"/>
  <c r="AA2276" i="4"/>
  <c r="AA2275" i="4"/>
  <c r="AA2274" i="4"/>
  <c r="AA2273" i="4"/>
  <c r="AA2272" i="4"/>
  <c r="AA2271" i="4"/>
  <c r="AA2270" i="4"/>
  <c r="AA2269" i="4"/>
  <c r="AA2268" i="4"/>
  <c r="AA2267" i="4"/>
  <c r="AA2266" i="4"/>
  <c r="AA2265" i="4"/>
  <c r="AA2264" i="4"/>
  <c r="AA2263" i="4"/>
  <c r="AA2262" i="4"/>
  <c r="AA2261" i="4"/>
  <c r="AA2260" i="4"/>
  <c r="AA2259" i="4"/>
  <c r="AA2258" i="4"/>
  <c r="AA2257" i="4"/>
  <c r="AA2256" i="4"/>
  <c r="AA2255" i="4"/>
  <c r="AA2254" i="4"/>
  <c r="AA2253" i="4"/>
  <c r="AA2252" i="4"/>
  <c r="AA2251" i="4"/>
  <c r="AA2250" i="4"/>
  <c r="AA2249" i="4"/>
  <c r="AA2248" i="4"/>
  <c r="AA2247" i="4"/>
  <c r="AA2246" i="4"/>
  <c r="AA2245" i="4"/>
  <c r="AA2244" i="4"/>
  <c r="AA2243" i="4"/>
  <c r="AA2242" i="4"/>
  <c r="AA2241" i="4"/>
  <c r="AA2240" i="4"/>
  <c r="AA2239" i="4"/>
  <c r="AA2238" i="4"/>
  <c r="AA2237" i="4"/>
  <c r="AA2236" i="4"/>
  <c r="AA2235" i="4"/>
  <c r="AA2234" i="4"/>
  <c r="AA2233" i="4"/>
  <c r="AA2232" i="4"/>
  <c r="AA2231" i="4"/>
  <c r="AA2230" i="4"/>
  <c r="AA2229" i="4"/>
  <c r="AA2228" i="4"/>
  <c r="AA2227" i="4"/>
  <c r="AA2226" i="4"/>
  <c r="AA2225" i="4"/>
  <c r="AA2224" i="4"/>
  <c r="AA2223" i="4"/>
  <c r="AA2222" i="4"/>
  <c r="AA2221" i="4"/>
  <c r="AA2220" i="4"/>
  <c r="AA2219" i="4"/>
  <c r="AA2218" i="4"/>
  <c r="AA2217" i="4"/>
  <c r="H10" i="4" s="1"/>
  <c r="AA2216" i="4"/>
  <c r="AA2215" i="4"/>
  <c r="AA2214" i="4"/>
  <c r="AA2213" i="4"/>
  <c r="AA2212" i="4"/>
  <c r="AA2211" i="4"/>
  <c r="AA2210" i="4"/>
  <c r="AA2209" i="4"/>
  <c r="AA2208" i="4"/>
  <c r="AA2207" i="4"/>
  <c r="AA2206" i="4"/>
  <c r="AA2205" i="4"/>
  <c r="AA2204" i="4"/>
  <c r="AA2203" i="4"/>
  <c r="AA2202" i="4"/>
  <c r="AA2201" i="4"/>
  <c r="AA2200" i="4"/>
  <c r="AA2199" i="4"/>
  <c r="AA2198" i="4"/>
  <c r="AA2197" i="4"/>
  <c r="AA2196" i="4"/>
  <c r="AA2195" i="4"/>
  <c r="AA2194" i="4"/>
  <c r="AA2193" i="4"/>
  <c r="AA2192" i="4"/>
  <c r="AA2191" i="4"/>
  <c r="AA2190" i="4"/>
  <c r="AA2189" i="4"/>
  <c r="AA2188" i="4"/>
  <c r="AA2187" i="4"/>
  <c r="AA2186" i="4"/>
  <c r="AA2185" i="4"/>
  <c r="AA2184" i="4"/>
  <c r="AA2183" i="4"/>
  <c r="AA2182" i="4"/>
  <c r="AA2181" i="4"/>
  <c r="AA2180" i="4"/>
  <c r="AA2179" i="4"/>
  <c r="AA2178" i="4"/>
  <c r="AA2177" i="4"/>
  <c r="AA2176" i="4"/>
  <c r="AA2175" i="4"/>
  <c r="AA2174" i="4"/>
  <c r="AA2173" i="4"/>
  <c r="AA2172" i="4"/>
  <c r="AA2171" i="4"/>
  <c r="AA2170" i="4"/>
  <c r="AA2169" i="4"/>
  <c r="AA2168" i="4"/>
  <c r="AA2167" i="4"/>
  <c r="AA2166" i="4"/>
  <c r="AA2165" i="4"/>
  <c r="AA2164" i="4"/>
  <c r="AA2163" i="4"/>
  <c r="AA2162" i="4"/>
  <c r="AA2161" i="4"/>
  <c r="AA2160" i="4"/>
  <c r="AA2159" i="4"/>
  <c r="AA2158" i="4"/>
  <c r="AA2157" i="4"/>
  <c r="AA2156" i="4"/>
  <c r="AA2155" i="4"/>
  <c r="AA2154" i="4"/>
  <c r="AA2153" i="4"/>
  <c r="AA2152" i="4"/>
  <c r="AA2151" i="4"/>
  <c r="AA2150" i="4"/>
  <c r="AA2149" i="4"/>
  <c r="AA2148" i="4"/>
  <c r="AA2147" i="4"/>
  <c r="AA2146" i="4"/>
  <c r="AA2145" i="4"/>
  <c r="AA2144" i="4"/>
  <c r="AA2143" i="4"/>
  <c r="AA2142" i="4"/>
  <c r="AA2141" i="4"/>
  <c r="AA2140" i="4"/>
  <c r="AA2139" i="4"/>
  <c r="AA2138" i="4"/>
  <c r="AA2137" i="4"/>
  <c r="AA2136" i="4"/>
  <c r="AA2135" i="4"/>
  <c r="AA2134" i="4"/>
  <c r="AA2133" i="4"/>
  <c r="AA2132" i="4"/>
  <c r="AA2131" i="4"/>
  <c r="AA2130" i="4"/>
  <c r="AA2129" i="4"/>
  <c r="AA2128" i="4"/>
  <c r="AA2127" i="4"/>
  <c r="AA2126" i="4"/>
  <c r="AA2125" i="4"/>
  <c r="AA2124" i="4"/>
  <c r="AA2123" i="4"/>
  <c r="AA2122" i="4"/>
  <c r="AA2121" i="4"/>
  <c r="AA2120" i="4"/>
  <c r="AA2119" i="4"/>
  <c r="AA2118" i="4"/>
  <c r="AA2117" i="4"/>
  <c r="AA2116" i="4"/>
  <c r="AA2115" i="4"/>
  <c r="AA2114" i="4"/>
  <c r="AA2113" i="4"/>
  <c r="AA2112" i="4"/>
  <c r="AA2111" i="4"/>
  <c r="AA2110" i="4"/>
  <c r="AA2109" i="4"/>
  <c r="AA2108" i="4"/>
  <c r="AA2107" i="4"/>
  <c r="AA2106" i="4"/>
  <c r="AA2105" i="4"/>
  <c r="AA2104" i="4"/>
  <c r="AA2103" i="4"/>
  <c r="AA2102" i="4"/>
  <c r="AA2101" i="4"/>
  <c r="AA2100" i="4"/>
  <c r="AA2099" i="4"/>
  <c r="AA2098" i="4"/>
  <c r="AA2097" i="4"/>
  <c r="AA2096" i="4"/>
  <c r="AA2095" i="4"/>
  <c r="AA2094" i="4"/>
  <c r="AA2093" i="4"/>
  <c r="AA2092" i="4"/>
  <c r="AA2091" i="4"/>
  <c r="AA2090" i="4"/>
  <c r="AA2089" i="4"/>
  <c r="AA2088" i="4"/>
  <c r="AA2087" i="4"/>
  <c r="AA2086" i="4"/>
  <c r="AA2085" i="4"/>
  <c r="AA2084" i="4"/>
  <c r="AA2083" i="4"/>
  <c r="AA2082" i="4"/>
  <c r="AA2081" i="4"/>
  <c r="AA2080" i="4"/>
  <c r="AA2079" i="4"/>
  <c r="AA2078" i="4"/>
  <c r="AA2077" i="4"/>
  <c r="AA2076" i="4"/>
  <c r="AA2075" i="4"/>
  <c r="AA2074" i="4"/>
  <c r="AA2073" i="4"/>
  <c r="AA2072" i="4"/>
  <c r="AA2071" i="4"/>
  <c r="AA2070" i="4"/>
  <c r="AA2069" i="4"/>
  <c r="AA2068" i="4"/>
  <c r="AA2067" i="4"/>
  <c r="AA2066" i="4"/>
  <c r="AA2065" i="4"/>
  <c r="AA2064" i="4"/>
  <c r="AA2063" i="4"/>
  <c r="AA2062" i="4"/>
  <c r="AA2061" i="4"/>
  <c r="AA2060" i="4"/>
  <c r="AA2059" i="4"/>
  <c r="AA2058" i="4"/>
  <c r="AA2057" i="4"/>
  <c r="AA2056" i="4"/>
  <c r="AA2055" i="4"/>
  <c r="AA2054" i="4"/>
  <c r="AA2053" i="4"/>
  <c r="AA2052" i="4"/>
  <c r="AA2051" i="4"/>
  <c r="AA2050" i="4"/>
  <c r="AA2049" i="4"/>
  <c r="AA2048" i="4"/>
  <c r="AA2047" i="4"/>
  <c r="AA2046" i="4"/>
  <c r="AA2045" i="4"/>
  <c r="AA2044" i="4"/>
  <c r="AA2043" i="4"/>
  <c r="AA2042" i="4"/>
  <c r="AA2041" i="4"/>
  <c r="AA2040" i="4"/>
  <c r="AA2039" i="4"/>
  <c r="AA2038" i="4"/>
  <c r="AA2037" i="4"/>
  <c r="AA2036" i="4"/>
  <c r="AA2035" i="4"/>
  <c r="AA2034" i="4"/>
  <c r="AA2033" i="4"/>
  <c r="AA2032" i="4"/>
  <c r="AA2031" i="4"/>
  <c r="AA2030" i="4"/>
  <c r="AA2029" i="4"/>
  <c r="AA2028" i="4"/>
  <c r="AA2027" i="4"/>
  <c r="AA2026" i="4"/>
  <c r="AA2025" i="4"/>
  <c r="AA2024" i="4"/>
  <c r="AA2023" i="4"/>
  <c r="AA2022" i="4"/>
  <c r="AA2021" i="4"/>
  <c r="AA2020" i="4"/>
  <c r="AA2019" i="4"/>
  <c r="AA2018" i="4"/>
  <c r="AA2017" i="4"/>
  <c r="AA2016" i="4"/>
  <c r="AA2015" i="4"/>
  <c r="AA2014" i="4"/>
  <c r="AA2013" i="4"/>
  <c r="AA2012" i="4"/>
  <c r="AA2011" i="4"/>
  <c r="AA2010" i="4"/>
  <c r="AA2009" i="4"/>
  <c r="AA2008" i="4"/>
  <c r="AA2007" i="4"/>
  <c r="AA2006" i="4"/>
  <c r="AA2005" i="4"/>
  <c r="AA2004" i="4"/>
  <c r="AA2003" i="4"/>
  <c r="AA2002" i="4"/>
  <c r="AA2001" i="4"/>
  <c r="AA2000" i="4"/>
  <c r="AA1999" i="4"/>
  <c r="AA1998" i="4"/>
  <c r="AA1997" i="4"/>
  <c r="AA1996" i="4"/>
  <c r="AA1995" i="4"/>
  <c r="AA1994" i="4"/>
  <c r="AA1993" i="4"/>
  <c r="AA1992" i="4"/>
  <c r="AA1991" i="4"/>
  <c r="AA1990" i="4"/>
  <c r="AA1989" i="4"/>
  <c r="AA1988" i="4"/>
  <c r="AA1987" i="4"/>
  <c r="AA1986" i="4"/>
  <c r="AA1985" i="4"/>
  <c r="AA1984" i="4"/>
  <c r="AA1983" i="4"/>
  <c r="AA1982" i="4"/>
  <c r="AA1981" i="4"/>
  <c r="AA1980" i="4"/>
  <c r="AA1979" i="4"/>
  <c r="AA1978" i="4"/>
  <c r="AA1977" i="4"/>
  <c r="AA1976" i="4"/>
  <c r="AA1975" i="4"/>
  <c r="AA1974" i="4"/>
  <c r="AA1973" i="4"/>
  <c r="AA1972" i="4"/>
  <c r="AA1971" i="4"/>
  <c r="AA1970" i="4"/>
  <c r="AA1969" i="4"/>
  <c r="AA1968" i="4"/>
  <c r="AA1967" i="4"/>
  <c r="AA1966" i="4"/>
  <c r="AA1965" i="4"/>
  <c r="AA1964" i="4"/>
  <c r="AA1963" i="4"/>
  <c r="AA1962" i="4"/>
  <c r="AA1961" i="4"/>
  <c r="AA1960" i="4"/>
  <c r="AA1959" i="4"/>
  <c r="AA1958" i="4"/>
  <c r="AA1957" i="4"/>
  <c r="AA1956" i="4"/>
  <c r="AA1955" i="4"/>
  <c r="AA1954" i="4"/>
  <c r="AA1953" i="4"/>
  <c r="AA1952" i="4"/>
  <c r="AA1951" i="4"/>
  <c r="AA1950" i="4"/>
  <c r="AA1949" i="4"/>
  <c r="AA1948" i="4"/>
  <c r="AA1947" i="4"/>
  <c r="AA1946" i="4"/>
  <c r="AA1945" i="4"/>
  <c r="AA1944" i="4"/>
  <c r="AA1943" i="4"/>
  <c r="AA1942" i="4"/>
  <c r="AA1941" i="4"/>
  <c r="AA1940" i="4"/>
  <c r="AA1939" i="4"/>
  <c r="AA1938" i="4"/>
  <c r="AA1937" i="4"/>
  <c r="AA1936" i="4"/>
  <c r="AA1935" i="4"/>
  <c r="AA1934" i="4"/>
  <c r="AA1933" i="4"/>
  <c r="AA1932" i="4"/>
  <c r="AA1931" i="4"/>
  <c r="AA1930" i="4"/>
  <c r="AA1929" i="4"/>
  <c r="AA1928" i="4"/>
  <c r="AA1927" i="4"/>
  <c r="AA1926" i="4"/>
  <c r="AA1925" i="4"/>
  <c r="AA1924" i="4"/>
  <c r="AA1923" i="4"/>
  <c r="AA1922" i="4"/>
  <c r="AA1921" i="4"/>
  <c r="AA1920" i="4"/>
  <c r="AA1919" i="4"/>
  <c r="AA1918" i="4"/>
  <c r="AA1917" i="4"/>
  <c r="AA1916" i="4"/>
  <c r="AA1915" i="4"/>
  <c r="AA1914" i="4"/>
  <c r="AA1913" i="4"/>
  <c r="AA1912" i="4"/>
  <c r="AA1911" i="4"/>
  <c r="AA1910" i="4"/>
  <c r="AA1909" i="4"/>
  <c r="AA1908" i="4"/>
  <c r="AA1907" i="4"/>
  <c r="AA1906" i="4"/>
  <c r="AA1905" i="4"/>
  <c r="AA1904" i="4"/>
  <c r="AA1903" i="4"/>
  <c r="AA1902" i="4"/>
  <c r="AA1901" i="4"/>
  <c r="AA1900" i="4"/>
  <c r="AA1899" i="4"/>
  <c r="AA1898" i="4"/>
  <c r="AA1897" i="4"/>
  <c r="AA1896" i="4"/>
  <c r="AA1895" i="4"/>
  <c r="AA1894" i="4"/>
  <c r="AA1893" i="4"/>
  <c r="AA1892" i="4"/>
  <c r="AA1891" i="4"/>
  <c r="AA1890" i="4"/>
  <c r="AA1889" i="4"/>
  <c r="AA1888" i="4"/>
  <c r="AA1887" i="4"/>
  <c r="AA1886" i="4"/>
  <c r="AA1885" i="4"/>
  <c r="AA1884" i="4"/>
  <c r="AA1883" i="4"/>
  <c r="AA1882" i="4"/>
  <c r="AA1881" i="4"/>
  <c r="AA1880" i="4"/>
  <c r="AA1879" i="4"/>
  <c r="AA1878" i="4"/>
  <c r="AA1877" i="4"/>
  <c r="AA1876" i="4"/>
  <c r="AA1875" i="4"/>
  <c r="AA1874" i="4"/>
  <c r="AA1873" i="4"/>
  <c r="AA1872" i="4"/>
  <c r="AA1871" i="4"/>
  <c r="AA1870" i="4"/>
  <c r="AA1869" i="4"/>
  <c r="AA1868" i="4"/>
  <c r="AA1867" i="4"/>
  <c r="AA1866" i="4"/>
  <c r="AA1865" i="4"/>
  <c r="AA1864" i="4"/>
  <c r="AA1863" i="4"/>
  <c r="AA1862" i="4"/>
  <c r="AA1861" i="4"/>
  <c r="AA1860" i="4"/>
  <c r="AA1859" i="4"/>
  <c r="AA1858" i="4"/>
  <c r="AA1857" i="4"/>
  <c r="AA1856" i="4"/>
  <c r="AA1855" i="4"/>
  <c r="AA1854" i="4"/>
  <c r="AA1853" i="4"/>
  <c r="AA1852" i="4"/>
  <c r="AA1851" i="4"/>
  <c r="AA1850" i="4"/>
  <c r="AA1849" i="4"/>
  <c r="AA1848" i="4"/>
  <c r="AA1847" i="4"/>
  <c r="AA1846" i="4"/>
  <c r="AA1845" i="4"/>
  <c r="AA1844" i="4"/>
  <c r="AA1843" i="4"/>
  <c r="AA1842" i="4"/>
  <c r="AA1841" i="4"/>
  <c r="AA1840" i="4"/>
  <c r="AA1839" i="4"/>
  <c r="AA1838" i="4"/>
  <c r="AA1837" i="4"/>
  <c r="AA1836" i="4"/>
  <c r="AA1835" i="4"/>
  <c r="AA1834" i="4"/>
  <c r="AA1833" i="4"/>
  <c r="AA1832" i="4"/>
  <c r="AA1831" i="4"/>
  <c r="AA1830" i="4"/>
  <c r="AA1829" i="4"/>
  <c r="AA1828" i="4"/>
  <c r="AA1827" i="4"/>
  <c r="AA1826" i="4"/>
  <c r="AA1825" i="4"/>
  <c r="AA1824" i="4"/>
  <c r="AA1823" i="4"/>
  <c r="AA1822" i="4"/>
  <c r="AA1821" i="4"/>
  <c r="AA1820" i="4"/>
  <c r="AA1819" i="4"/>
  <c r="AA1818" i="4"/>
  <c r="AA1817" i="4"/>
  <c r="AA1816" i="4"/>
  <c r="AA1815" i="4"/>
  <c r="AA1814" i="4"/>
  <c r="AA1813" i="4"/>
  <c r="AA1812" i="4"/>
  <c r="AA1811" i="4"/>
  <c r="AA1810" i="4"/>
  <c r="AA1809" i="4"/>
  <c r="AA1808" i="4"/>
  <c r="AA1807" i="4"/>
  <c r="AA1806" i="4"/>
  <c r="AA1805" i="4"/>
  <c r="AA1804" i="4"/>
  <c r="AA1803" i="4"/>
  <c r="AA1802" i="4"/>
  <c r="AA1801" i="4"/>
  <c r="AA1800" i="4"/>
  <c r="AA1799" i="4"/>
  <c r="AA1798" i="4"/>
  <c r="AA1797" i="4"/>
  <c r="AA1796" i="4"/>
  <c r="AA1795" i="4"/>
  <c r="AA1794" i="4"/>
  <c r="AA1793" i="4"/>
  <c r="AA1792" i="4"/>
  <c r="AA1791" i="4"/>
  <c r="AA1790" i="4"/>
  <c r="AA1789" i="4"/>
  <c r="AA1788" i="4"/>
  <c r="AA1787" i="4"/>
  <c r="AA1786" i="4"/>
  <c r="AA1785" i="4"/>
  <c r="AA1784" i="4"/>
  <c r="AA1783" i="4"/>
  <c r="AA1782" i="4"/>
  <c r="AA1781" i="4"/>
  <c r="AA1780" i="4"/>
  <c r="AA1779" i="4"/>
  <c r="AA1778" i="4"/>
  <c r="AA1777" i="4"/>
  <c r="AA1776" i="4"/>
  <c r="AA1775" i="4"/>
  <c r="AA1774" i="4"/>
  <c r="AA1773" i="4"/>
  <c r="AA1772" i="4"/>
  <c r="AA1771" i="4"/>
  <c r="AA1770" i="4"/>
  <c r="AA1769" i="4"/>
  <c r="AA1768" i="4"/>
  <c r="AA1767" i="4"/>
  <c r="AA1766" i="4"/>
  <c r="AA1765" i="4"/>
  <c r="AA1764" i="4"/>
  <c r="AA1763" i="4"/>
  <c r="AA1762" i="4"/>
  <c r="AA1761" i="4"/>
  <c r="AA1760" i="4"/>
  <c r="AA1759" i="4"/>
  <c r="AA1758" i="4"/>
  <c r="AA1757" i="4"/>
  <c r="AA1756" i="4"/>
  <c r="AA1755" i="4"/>
  <c r="AA1754" i="4"/>
  <c r="AA1753" i="4"/>
  <c r="AA1752" i="4"/>
  <c r="AA1751" i="4"/>
  <c r="AA1750" i="4"/>
  <c r="AA1749" i="4"/>
  <c r="AA1748" i="4"/>
  <c r="AA1747" i="4"/>
  <c r="AA1746" i="4"/>
  <c r="AA1745" i="4"/>
  <c r="AA1744" i="4"/>
  <c r="AA1743" i="4"/>
  <c r="AA1742" i="4"/>
  <c r="AA1741" i="4"/>
  <c r="AA1740" i="4"/>
  <c r="AA1739" i="4"/>
  <c r="AA1738" i="4"/>
  <c r="AA1737" i="4"/>
  <c r="AA1736" i="4"/>
  <c r="AA1735" i="4"/>
  <c r="AA1734" i="4"/>
  <c r="AA1733" i="4"/>
  <c r="AA1732" i="4"/>
  <c r="AA1731" i="4"/>
  <c r="AA1730" i="4"/>
  <c r="AA1729" i="4"/>
  <c r="AA1728" i="4"/>
  <c r="AA1727" i="4"/>
  <c r="AA1726" i="4"/>
  <c r="AA1725" i="4"/>
  <c r="AA1724" i="4"/>
  <c r="AA1723" i="4"/>
  <c r="AA1722" i="4"/>
  <c r="AA1721" i="4"/>
  <c r="AA1720" i="4"/>
  <c r="AA1719" i="4"/>
  <c r="AA1718" i="4"/>
  <c r="AA1717" i="4"/>
  <c r="AA1716" i="4"/>
  <c r="AA1715" i="4"/>
  <c r="AA1714" i="4"/>
  <c r="AA1713" i="4"/>
  <c r="H7" i="4" s="1"/>
  <c r="AA1712" i="4"/>
  <c r="AA1711" i="4"/>
  <c r="AA1710" i="4"/>
  <c r="AA1709" i="4"/>
  <c r="AA1708" i="4"/>
  <c r="AA1707" i="4"/>
  <c r="AA1706" i="4"/>
  <c r="AA1705" i="4"/>
  <c r="AA1704" i="4"/>
  <c r="AA1703" i="4"/>
  <c r="AA1702" i="4"/>
  <c r="AA1701" i="4"/>
  <c r="AA1700" i="4"/>
  <c r="AA1699" i="4"/>
  <c r="AA1698" i="4"/>
  <c r="AA1697" i="4"/>
  <c r="H20" i="4" s="1"/>
  <c r="AA1696" i="4"/>
  <c r="AA1695" i="4"/>
  <c r="AA1694" i="4"/>
  <c r="AA1693" i="4"/>
  <c r="AA1692" i="4"/>
  <c r="AA1691" i="4"/>
  <c r="AA1690" i="4"/>
  <c r="AA1689" i="4"/>
  <c r="AA1688" i="4"/>
  <c r="AA1687" i="4"/>
  <c r="AA1686" i="4"/>
  <c r="AA1685" i="4"/>
  <c r="AA1684" i="4"/>
  <c r="AA1683" i="4"/>
  <c r="AA1682" i="4"/>
  <c r="AA1681" i="4"/>
  <c r="AA1680" i="4"/>
  <c r="AA1679" i="4"/>
  <c r="AA1678" i="4"/>
  <c r="AA1677" i="4"/>
  <c r="AA1676" i="4"/>
  <c r="AA1675" i="4"/>
  <c r="AA1674" i="4"/>
  <c r="AA1673" i="4"/>
  <c r="AA1672" i="4"/>
  <c r="AA1671" i="4"/>
  <c r="AA1670" i="4"/>
  <c r="AA1669" i="4"/>
  <c r="AA1668" i="4"/>
  <c r="AA1667" i="4"/>
  <c r="AA1666" i="4"/>
  <c r="AA1665" i="4"/>
  <c r="AA1664" i="4"/>
  <c r="AA1663" i="4"/>
  <c r="AA1662" i="4"/>
  <c r="AA1661" i="4"/>
  <c r="AA1660" i="4"/>
  <c r="AA1659" i="4"/>
  <c r="AA1658" i="4"/>
  <c r="AA1657" i="4"/>
  <c r="AA1656" i="4"/>
  <c r="AA1655" i="4"/>
  <c r="AA1654" i="4"/>
  <c r="AA1653" i="4"/>
  <c r="AA1652" i="4"/>
  <c r="AA1651" i="4"/>
  <c r="AA1650" i="4"/>
  <c r="AA1649" i="4"/>
  <c r="AA1648" i="4"/>
  <c r="AA1647" i="4"/>
  <c r="AA1646" i="4"/>
  <c r="AA1645" i="4"/>
  <c r="AA1644" i="4"/>
  <c r="AA1643" i="4"/>
  <c r="AA1642" i="4"/>
  <c r="AA1641" i="4"/>
  <c r="AA1640" i="4"/>
  <c r="AA1639" i="4"/>
  <c r="AA1638" i="4"/>
  <c r="AA1637" i="4"/>
  <c r="AA1636" i="4"/>
  <c r="AA1635" i="4"/>
  <c r="AA1634" i="4"/>
  <c r="AA1633" i="4"/>
  <c r="AA1632" i="4"/>
  <c r="AA1631" i="4"/>
  <c r="AA1630" i="4"/>
  <c r="AA1629" i="4"/>
  <c r="AA1628" i="4"/>
  <c r="AA1627" i="4"/>
  <c r="AA1626" i="4"/>
  <c r="AA1625" i="4"/>
  <c r="AA1624" i="4"/>
  <c r="AA1623" i="4"/>
  <c r="AA1622" i="4"/>
  <c r="AA1621" i="4"/>
  <c r="AA1620" i="4"/>
  <c r="AA1619" i="4"/>
  <c r="AA1618" i="4"/>
  <c r="AA1617" i="4"/>
  <c r="AA1616" i="4"/>
  <c r="AA1615" i="4"/>
  <c r="AA1614" i="4"/>
  <c r="AA1613" i="4"/>
  <c r="AA1612" i="4"/>
  <c r="AA1611" i="4"/>
  <c r="AA1610" i="4"/>
  <c r="AA1609" i="4"/>
  <c r="AA1608" i="4"/>
  <c r="AA1607" i="4"/>
  <c r="AA1606" i="4"/>
  <c r="AA1605" i="4"/>
  <c r="AA1604" i="4"/>
  <c r="AA1603" i="4"/>
  <c r="AA1602" i="4"/>
  <c r="AA1601" i="4"/>
  <c r="H6" i="4" s="1"/>
  <c r="AA1600" i="4"/>
  <c r="AA1599" i="4"/>
  <c r="AA1598" i="4"/>
  <c r="AA1597" i="4"/>
  <c r="AA1596" i="4"/>
  <c r="AA1595" i="4"/>
  <c r="AA1594" i="4"/>
  <c r="AA1593" i="4"/>
  <c r="AA1592" i="4"/>
  <c r="AA1591" i="4"/>
  <c r="AA1590" i="4"/>
  <c r="AA1589" i="4"/>
  <c r="AA1588" i="4"/>
  <c r="AA1587" i="4"/>
  <c r="AA1586" i="4"/>
  <c r="AA1585" i="4"/>
  <c r="AA1584" i="4"/>
  <c r="AA1583" i="4"/>
  <c r="AA1582" i="4"/>
  <c r="AA1581" i="4"/>
  <c r="AA1580" i="4"/>
  <c r="AA1579" i="4"/>
  <c r="AA1578" i="4"/>
  <c r="AA1577" i="4"/>
  <c r="AA1576" i="4"/>
  <c r="AA1575" i="4"/>
  <c r="AA1574" i="4"/>
  <c r="AA1573" i="4"/>
  <c r="AA1572" i="4"/>
  <c r="AA1571" i="4"/>
  <c r="AA1570" i="4"/>
  <c r="AA1569" i="4"/>
  <c r="AA1568" i="4"/>
  <c r="AA1567" i="4"/>
  <c r="AA1566" i="4"/>
  <c r="AA1565" i="4"/>
  <c r="AA1564" i="4"/>
  <c r="AA1563" i="4"/>
  <c r="AA1562" i="4"/>
  <c r="AA1561" i="4"/>
  <c r="AA1560" i="4"/>
  <c r="AA1559" i="4"/>
  <c r="AA1558" i="4"/>
  <c r="AA1557" i="4"/>
  <c r="AA1556" i="4"/>
  <c r="AA1555" i="4"/>
  <c r="AA1554" i="4"/>
  <c r="AA1553" i="4"/>
  <c r="AA1552" i="4"/>
  <c r="AA1551" i="4"/>
  <c r="AA1550" i="4"/>
  <c r="AA1549" i="4"/>
  <c r="AA1548" i="4"/>
  <c r="AA1547" i="4"/>
  <c r="AA1546" i="4"/>
  <c r="AA1545" i="4"/>
  <c r="AA1544" i="4"/>
  <c r="AA1543" i="4"/>
  <c r="AA1542" i="4"/>
  <c r="AA1541" i="4"/>
  <c r="AA1540" i="4"/>
  <c r="AA1539" i="4"/>
  <c r="AA1538" i="4"/>
  <c r="AA1537" i="4"/>
  <c r="AA1536" i="4"/>
  <c r="AA1535" i="4"/>
  <c r="AA1534" i="4"/>
  <c r="AA1533" i="4"/>
  <c r="AA1532" i="4"/>
  <c r="AA1531" i="4"/>
  <c r="AA1530" i="4"/>
  <c r="AA1529" i="4"/>
  <c r="AA1528" i="4"/>
  <c r="AA1527" i="4"/>
  <c r="AA1526" i="4"/>
  <c r="AA1525" i="4"/>
  <c r="AA1524" i="4"/>
  <c r="AA1523" i="4"/>
  <c r="AA1522" i="4"/>
  <c r="AA1521" i="4"/>
  <c r="H16" i="4" s="1"/>
  <c r="AA1520" i="4"/>
  <c r="AA1519" i="4"/>
  <c r="AA1518" i="4"/>
  <c r="AA1517" i="4"/>
  <c r="AA1516" i="4"/>
  <c r="AA1515" i="4"/>
  <c r="AA1514" i="4"/>
  <c r="AA1513" i="4"/>
  <c r="AA1512" i="4"/>
  <c r="AA1511" i="4"/>
  <c r="AA1510" i="4"/>
  <c r="AA1509" i="4"/>
  <c r="AA1508" i="4"/>
  <c r="AA1507" i="4"/>
  <c r="AA1506" i="4"/>
  <c r="AA1505" i="4"/>
  <c r="AA1504" i="4"/>
  <c r="AA1503" i="4"/>
  <c r="AA1502" i="4"/>
  <c r="AA1501" i="4"/>
  <c r="AA1500" i="4"/>
  <c r="AA1499" i="4"/>
  <c r="AA1498" i="4"/>
  <c r="AA1497" i="4"/>
  <c r="AA1496" i="4"/>
  <c r="AA1495" i="4"/>
  <c r="AA1494" i="4"/>
  <c r="AA1493" i="4"/>
  <c r="AA1492" i="4"/>
  <c r="AA1491" i="4"/>
  <c r="AA1490" i="4"/>
  <c r="AA1489" i="4"/>
  <c r="AA1488" i="4"/>
  <c r="AA1487" i="4"/>
  <c r="AA1486" i="4"/>
  <c r="AA1485" i="4"/>
  <c r="AA1484" i="4"/>
  <c r="AA1483" i="4"/>
  <c r="AA1482" i="4"/>
  <c r="AA1481" i="4"/>
  <c r="AA1480" i="4"/>
  <c r="AA1479" i="4"/>
  <c r="AA1478" i="4"/>
  <c r="AA1477" i="4"/>
  <c r="AA1476" i="4"/>
  <c r="AA1475" i="4"/>
  <c r="AA1474" i="4"/>
  <c r="AA1473" i="4"/>
  <c r="AA1472" i="4"/>
  <c r="AA1471" i="4"/>
  <c r="AA1470" i="4"/>
  <c r="AA1469" i="4"/>
  <c r="AA1468" i="4"/>
  <c r="AA1467" i="4"/>
  <c r="AA1466" i="4"/>
  <c r="AA1465" i="4"/>
  <c r="AA1464" i="4"/>
  <c r="AA1463" i="4"/>
  <c r="AA1462" i="4"/>
  <c r="AA1461" i="4"/>
  <c r="AA1460" i="4"/>
  <c r="AA1459" i="4"/>
  <c r="AA1458" i="4"/>
  <c r="AA1457" i="4"/>
  <c r="AA1456" i="4"/>
  <c r="AA1455" i="4"/>
  <c r="AA1454" i="4"/>
  <c r="AA1453" i="4"/>
  <c r="AA1452" i="4"/>
  <c r="AA1451" i="4"/>
  <c r="AA1450" i="4"/>
  <c r="AA1449" i="4"/>
  <c r="AA1448" i="4"/>
  <c r="AA1447" i="4"/>
  <c r="AA1446" i="4"/>
  <c r="AA1445" i="4"/>
  <c r="AA1444" i="4"/>
  <c r="AA1443" i="4"/>
  <c r="AA1442" i="4"/>
  <c r="AA1441" i="4"/>
  <c r="AA1440" i="4"/>
  <c r="AA1439" i="4"/>
  <c r="AA1438" i="4"/>
  <c r="AA1437" i="4"/>
  <c r="AA1436" i="4"/>
  <c r="AA1435" i="4"/>
  <c r="AA1434" i="4"/>
  <c r="AA1433" i="4"/>
  <c r="AA1432" i="4"/>
  <c r="AA1431" i="4"/>
  <c r="AA1430" i="4"/>
  <c r="AA1429" i="4"/>
  <c r="AA1428" i="4"/>
  <c r="AA1427" i="4"/>
  <c r="AA1426" i="4"/>
  <c r="AA1425" i="4"/>
  <c r="AA1424" i="4"/>
  <c r="AA1423" i="4"/>
  <c r="AA1422" i="4"/>
  <c r="AA1421" i="4"/>
  <c r="AA1420" i="4"/>
  <c r="AA1419" i="4"/>
  <c r="AA1418" i="4"/>
  <c r="AA1417" i="4"/>
  <c r="AA1416" i="4"/>
  <c r="AA1415" i="4"/>
  <c r="AA1414" i="4"/>
  <c r="AA1413" i="4"/>
  <c r="AA1412" i="4"/>
  <c r="AA1411" i="4"/>
  <c r="AA1410" i="4"/>
  <c r="AA1409" i="4"/>
  <c r="AA1408" i="4"/>
  <c r="AA1407" i="4"/>
  <c r="AA1406" i="4"/>
  <c r="AA1405" i="4"/>
  <c r="AA1404" i="4"/>
  <c r="AA1403" i="4"/>
  <c r="AA1402" i="4"/>
  <c r="AA1401" i="4"/>
  <c r="AA1400" i="4"/>
  <c r="AA1399" i="4"/>
  <c r="AA1398" i="4"/>
  <c r="AA1397" i="4"/>
  <c r="AA1396" i="4"/>
  <c r="AA1395" i="4"/>
  <c r="AA1394" i="4"/>
  <c r="AA1393" i="4"/>
  <c r="AA1392" i="4"/>
  <c r="AA1391" i="4"/>
  <c r="AA1390" i="4"/>
  <c r="AA1389" i="4"/>
  <c r="AA1388" i="4"/>
  <c r="AA1387" i="4"/>
  <c r="AA1386" i="4"/>
  <c r="AA1385" i="4"/>
  <c r="AA1384" i="4"/>
  <c r="AA1383" i="4"/>
  <c r="AA1382" i="4"/>
  <c r="AA1381" i="4"/>
  <c r="AA1380" i="4"/>
  <c r="AA1379" i="4"/>
  <c r="AA1378" i="4"/>
  <c r="AA1377" i="4"/>
  <c r="AA1376" i="4"/>
  <c r="AA1375" i="4"/>
  <c r="AA1374" i="4"/>
  <c r="AA1373" i="4"/>
  <c r="AA1372" i="4"/>
  <c r="AA1371" i="4"/>
  <c r="AA1370" i="4"/>
  <c r="AA1369" i="4"/>
  <c r="AA1368" i="4"/>
  <c r="AA1367" i="4"/>
  <c r="AA1366" i="4"/>
  <c r="AA1365" i="4"/>
  <c r="AA1364" i="4"/>
  <c r="AA1363" i="4"/>
  <c r="AA1362" i="4"/>
  <c r="AA1361" i="4"/>
  <c r="AA1360" i="4"/>
  <c r="AA1359" i="4"/>
  <c r="AA1358" i="4"/>
  <c r="AA1357" i="4"/>
  <c r="AA1356" i="4"/>
  <c r="AA1355" i="4"/>
  <c r="AA1354" i="4"/>
  <c r="AA1353" i="4"/>
  <c r="AA1352" i="4"/>
  <c r="AA1351" i="4"/>
  <c r="AA1350" i="4"/>
  <c r="AA1349" i="4"/>
  <c r="AA1348" i="4"/>
  <c r="AA1347" i="4"/>
  <c r="AA1346" i="4"/>
  <c r="AA1345" i="4"/>
  <c r="AA1344" i="4"/>
  <c r="AA1343" i="4"/>
  <c r="AA1342" i="4"/>
  <c r="AA1341" i="4"/>
  <c r="AA1340" i="4"/>
  <c r="AA1339" i="4"/>
  <c r="AA1338" i="4"/>
  <c r="AA1337" i="4"/>
  <c r="AA1336" i="4"/>
  <c r="AA1335" i="4"/>
  <c r="AA1334" i="4"/>
  <c r="AA1333" i="4"/>
  <c r="AA1332" i="4"/>
  <c r="AA1331" i="4"/>
  <c r="AA1330" i="4"/>
  <c r="AA1329" i="4"/>
  <c r="AA1328" i="4"/>
  <c r="AA1327" i="4"/>
  <c r="AA1326" i="4"/>
  <c r="AA1325" i="4"/>
  <c r="AA1324" i="4"/>
  <c r="AA1323" i="4"/>
  <c r="AA1322" i="4"/>
  <c r="AA1321" i="4"/>
  <c r="AA1320" i="4"/>
  <c r="AA1319" i="4"/>
  <c r="AA1318" i="4"/>
  <c r="AA1317" i="4"/>
  <c r="AA1316" i="4"/>
  <c r="AA1315" i="4"/>
  <c r="AA1314" i="4"/>
  <c r="AA1313" i="4"/>
  <c r="AA1312" i="4"/>
  <c r="AA1311" i="4"/>
  <c r="AA1310" i="4"/>
  <c r="AA1309" i="4"/>
  <c r="AA1308" i="4"/>
  <c r="AA1307" i="4"/>
  <c r="AA1306" i="4"/>
  <c r="AA1305" i="4"/>
  <c r="AA1304" i="4"/>
  <c r="AA1303" i="4"/>
  <c r="AA1302" i="4"/>
  <c r="AA1301" i="4"/>
  <c r="AA1300" i="4"/>
  <c r="AA1299" i="4"/>
  <c r="AA1298" i="4"/>
  <c r="AA1297" i="4"/>
  <c r="AA1296" i="4"/>
  <c r="AA1295" i="4"/>
  <c r="AA1294" i="4"/>
  <c r="AA1293" i="4"/>
  <c r="AA1292" i="4"/>
  <c r="AA1291" i="4"/>
  <c r="AA1290" i="4"/>
  <c r="AA1289" i="4"/>
  <c r="AA1288" i="4"/>
  <c r="AA1287" i="4"/>
  <c r="AA1286" i="4"/>
  <c r="AA1285" i="4"/>
  <c r="AA1284" i="4"/>
  <c r="AA1283" i="4"/>
  <c r="AA1282" i="4"/>
  <c r="AA1281" i="4"/>
  <c r="AA1280" i="4"/>
  <c r="AA1279" i="4"/>
  <c r="AA1278" i="4"/>
  <c r="AA1277" i="4"/>
  <c r="AA1276" i="4"/>
  <c r="AA1275" i="4"/>
  <c r="AA1274" i="4"/>
  <c r="AA1273" i="4"/>
  <c r="AA1272" i="4"/>
  <c r="AA1271" i="4"/>
  <c r="AA1270" i="4"/>
  <c r="AA1269" i="4"/>
  <c r="AA1268" i="4"/>
  <c r="AA1267" i="4"/>
  <c r="AA1266" i="4"/>
  <c r="AA1265" i="4"/>
  <c r="AA1264" i="4"/>
  <c r="AA1263" i="4"/>
  <c r="AA1262" i="4"/>
  <c r="AA1261" i="4"/>
  <c r="AA1260" i="4"/>
  <c r="AA1259" i="4"/>
  <c r="AA1258" i="4"/>
  <c r="AA1257" i="4"/>
  <c r="AA1256" i="4"/>
  <c r="AA1255" i="4"/>
  <c r="AA1254" i="4"/>
  <c r="AA1253" i="4"/>
  <c r="AA1252" i="4"/>
  <c r="AA1251" i="4"/>
  <c r="AA1250" i="4"/>
  <c r="AA1249" i="4"/>
  <c r="AA1248" i="4"/>
  <c r="AA1247" i="4"/>
  <c r="AA1246" i="4"/>
  <c r="AA1245" i="4"/>
  <c r="AA1244" i="4"/>
  <c r="AA1243" i="4"/>
  <c r="AA1242" i="4"/>
  <c r="AA1241" i="4"/>
  <c r="AA1240" i="4"/>
  <c r="AA1239" i="4"/>
  <c r="AA1238" i="4"/>
  <c r="AA1237" i="4"/>
  <c r="AA1236" i="4"/>
  <c r="AA1235" i="4"/>
  <c r="AA1234" i="4"/>
  <c r="AA1233" i="4"/>
  <c r="AA1232" i="4"/>
  <c r="AA1231" i="4"/>
  <c r="AA1230" i="4"/>
  <c r="AA1229" i="4"/>
  <c r="AA1228" i="4"/>
  <c r="AA1227" i="4"/>
  <c r="AA1226" i="4"/>
  <c r="AA1225" i="4"/>
  <c r="AA1224" i="4"/>
  <c r="AA1223" i="4"/>
  <c r="AA1222" i="4"/>
  <c r="AA1221" i="4"/>
  <c r="AA1220" i="4"/>
  <c r="AA1219" i="4"/>
  <c r="AA1218" i="4"/>
  <c r="AA1217" i="4"/>
  <c r="AA1216" i="4"/>
  <c r="AA1215" i="4"/>
  <c r="AA1214" i="4"/>
  <c r="AA1213" i="4"/>
  <c r="AA1212" i="4"/>
  <c r="AA1211" i="4"/>
  <c r="AA1210" i="4"/>
  <c r="AA1209" i="4"/>
  <c r="AA1208" i="4"/>
  <c r="AA1207" i="4"/>
  <c r="AA1206" i="4"/>
  <c r="AA1205" i="4"/>
  <c r="AA1204" i="4"/>
  <c r="AA1203" i="4"/>
  <c r="AA1202" i="4"/>
  <c r="AA1201" i="4"/>
  <c r="AA1200" i="4"/>
  <c r="AA1199" i="4"/>
  <c r="AA1198" i="4"/>
  <c r="AA1197" i="4"/>
  <c r="AA1196" i="4"/>
  <c r="AA1195" i="4"/>
  <c r="AA1194" i="4"/>
  <c r="AA1193" i="4"/>
  <c r="AA1192" i="4"/>
  <c r="AA1191" i="4"/>
  <c r="AA1190" i="4"/>
  <c r="AA1189" i="4"/>
  <c r="AA1188" i="4"/>
  <c r="AA1187" i="4"/>
  <c r="AA1186" i="4"/>
  <c r="AA1185" i="4"/>
  <c r="AA1184" i="4"/>
  <c r="AA1183" i="4"/>
  <c r="AA1182" i="4"/>
  <c r="AA1181" i="4"/>
  <c r="AA1180" i="4"/>
  <c r="AA1179" i="4"/>
  <c r="AA1178" i="4"/>
  <c r="AA1177" i="4"/>
  <c r="AA1176" i="4"/>
  <c r="AA1175" i="4"/>
  <c r="AA1174" i="4"/>
  <c r="AA1173" i="4"/>
  <c r="AA1172" i="4"/>
  <c r="AA1171" i="4"/>
  <c r="AA1170" i="4"/>
  <c r="AA1169" i="4"/>
  <c r="AA1168" i="4"/>
  <c r="AA1167" i="4"/>
  <c r="AA1166" i="4"/>
  <c r="AA1165" i="4"/>
  <c r="AA1164" i="4"/>
  <c r="AA1163" i="4"/>
  <c r="AA1162" i="4"/>
  <c r="AA1161" i="4"/>
  <c r="AA1160" i="4"/>
  <c r="AA1159" i="4"/>
  <c r="AA1158" i="4"/>
  <c r="AA1157" i="4"/>
  <c r="AA1156" i="4"/>
  <c r="AA1155" i="4"/>
  <c r="AA1154" i="4"/>
  <c r="AA1153" i="4"/>
  <c r="AA1152" i="4"/>
  <c r="AA1151" i="4"/>
  <c r="AA1150" i="4"/>
  <c r="AA1149" i="4"/>
  <c r="AA1148" i="4"/>
  <c r="AA1147" i="4"/>
  <c r="AA1146" i="4"/>
  <c r="AA1145" i="4"/>
  <c r="AA1144" i="4"/>
  <c r="AA1143" i="4"/>
  <c r="AA1142" i="4"/>
  <c r="AA1141" i="4"/>
  <c r="AA1140" i="4"/>
  <c r="AA1139" i="4"/>
  <c r="AA1138" i="4"/>
  <c r="AA1137" i="4"/>
  <c r="AA1136" i="4"/>
  <c r="AA1135" i="4"/>
  <c r="AA1134" i="4"/>
  <c r="AA1133" i="4"/>
  <c r="AA1132" i="4"/>
  <c r="AA1131" i="4"/>
  <c r="AA1130" i="4"/>
  <c r="AA1129" i="4"/>
  <c r="AA1128" i="4"/>
  <c r="AA1127" i="4"/>
  <c r="AA1126" i="4"/>
  <c r="AA1125" i="4"/>
  <c r="AA1124" i="4"/>
  <c r="AA1123" i="4"/>
  <c r="AA1122" i="4"/>
  <c r="AA1121" i="4"/>
  <c r="AA1120" i="4"/>
  <c r="AA1119" i="4"/>
  <c r="AA1118" i="4"/>
  <c r="AA1117" i="4"/>
  <c r="AA1116" i="4"/>
  <c r="AA1115" i="4"/>
  <c r="AA1114" i="4"/>
  <c r="AA1113" i="4"/>
  <c r="AA1112" i="4"/>
  <c r="AA1111" i="4"/>
  <c r="AA1110" i="4"/>
  <c r="AA1109" i="4"/>
  <c r="AA1108" i="4"/>
  <c r="AA1107" i="4"/>
  <c r="AA1106" i="4"/>
  <c r="AA1105" i="4"/>
  <c r="AA1104" i="4"/>
  <c r="AA1103" i="4"/>
  <c r="AA1102" i="4"/>
  <c r="AA1101" i="4"/>
  <c r="AA1100" i="4"/>
  <c r="AA1099" i="4"/>
  <c r="AA1098" i="4"/>
  <c r="AA1097" i="4"/>
  <c r="AA1096" i="4"/>
  <c r="AA1095" i="4"/>
  <c r="AA1094" i="4"/>
  <c r="AA1093" i="4"/>
  <c r="AA1092" i="4"/>
  <c r="AA1091" i="4"/>
  <c r="AA1090" i="4"/>
  <c r="AA1089" i="4"/>
  <c r="AA1088" i="4"/>
  <c r="AA1087" i="4"/>
  <c r="AA1086" i="4"/>
  <c r="AA1085" i="4"/>
  <c r="AA1084" i="4"/>
  <c r="AA1083" i="4"/>
  <c r="AA1082" i="4"/>
  <c r="AA1081" i="4"/>
  <c r="AA1080" i="4"/>
  <c r="AA1079" i="4"/>
  <c r="AA1078" i="4"/>
  <c r="AA1077" i="4"/>
  <c r="AA1076" i="4"/>
  <c r="AA1075" i="4"/>
  <c r="AA1074" i="4"/>
  <c r="AA1073" i="4"/>
  <c r="AA1072" i="4"/>
  <c r="AA1071" i="4"/>
  <c r="AA1070" i="4"/>
  <c r="AA1069" i="4"/>
  <c r="AA1068" i="4"/>
  <c r="AA1067" i="4"/>
  <c r="AA1066" i="4"/>
  <c r="AA1065" i="4"/>
  <c r="AA1064" i="4"/>
  <c r="AA1063" i="4"/>
  <c r="AA1062" i="4"/>
  <c r="AA1061" i="4"/>
  <c r="AA1060" i="4"/>
  <c r="AA1059" i="4"/>
  <c r="AA1058" i="4"/>
  <c r="AA1057" i="4"/>
  <c r="AA1056" i="4"/>
  <c r="AA1055" i="4"/>
  <c r="AA1054" i="4"/>
  <c r="AA1053" i="4"/>
  <c r="AA1052" i="4"/>
  <c r="AA1051" i="4"/>
  <c r="AA1050" i="4"/>
  <c r="AA1049" i="4"/>
  <c r="AA1048" i="4"/>
  <c r="AA1047" i="4"/>
  <c r="AA1046" i="4"/>
  <c r="AA1045" i="4"/>
  <c r="AA1044" i="4"/>
  <c r="AA1043" i="4"/>
  <c r="AA1042" i="4"/>
  <c r="AA1041" i="4"/>
  <c r="AA1040" i="4"/>
  <c r="AA1039" i="4"/>
  <c r="AA1038" i="4"/>
  <c r="AA1037" i="4"/>
  <c r="AA1036" i="4"/>
  <c r="AA1035" i="4"/>
  <c r="AA1034" i="4"/>
  <c r="AA1033" i="4"/>
  <c r="AA1032" i="4"/>
  <c r="AA1031" i="4"/>
  <c r="AA1030" i="4"/>
  <c r="AA1029" i="4"/>
  <c r="AA1028" i="4"/>
  <c r="AA1027" i="4"/>
  <c r="AA1026" i="4"/>
  <c r="AA1025" i="4"/>
  <c r="AA1024" i="4"/>
  <c r="AA1023" i="4"/>
  <c r="AA1022" i="4"/>
  <c r="AA1021" i="4"/>
  <c r="AA1020" i="4"/>
  <c r="AA1019" i="4"/>
  <c r="AA1018" i="4"/>
  <c r="AA1017" i="4"/>
  <c r="AA1016" i="4"/>
  <c r="AA1015" i="4"/>
  <c r="AA1014" i="4"/>
  <c r="AA1013" i="4"/>
  <c r="AA1012" i="4"/>
  <c r="AA1011" i="4"/>
  <c r="AA1010" i="4"/>
  <c r="AA1009" i="4"/>
  <c r="AA1008" i="4"/>
  <c r="AA1007" i="4"/>
  <c r="AA1006" i="4"/>
  <c r="AA1005" i="4"/>
  <c r="AA1004" i="4"/>
  <c r="AA1003" i="4"/>
  <c r="AA1002" i="4"/>
  <c r="AA1001" i="4"/>
  <c r="AA1000" i="4"/>
  <c r="AA999" i="4"/>
  <c r="AA998" i="4"/>
  <c r="AA997" i="4"/>
  <c r="AA996" i="4"/>
  <c r="AA995" i="4"/>
  <c r="AA994" i="4"/>
  <c r="AA993" i="4"/>
  <c r="AA992" i="4"/>
  <c r="AA991" i="4"/>
  <c r="AA990" i="4"/>
  <c r="AA989" i="4"/>
  <c r="AA988" i="4"/>
  <c r="AA987" i="4"/>
  <c r="AA986" i="4"/>
  <c r="AA985" i="4"/>
  <c r="AA984" i="4"/>
  <c r="AA983" i="4"/>
  <c r="AA982" i="4"/>
  <c r="AA981" i="4"/>
  <c r="AA980" i="4"/>
  <c r="AA979" i="4"/>
  <c r="AA978" i="4"/>
  <c r="AA977" i="4"/>
  <c r="AA976" i="4"/>
  <c r="AA975" i="4"/>
  <c r="AA974" i="4"/>
  <c r="AA973" i="4"/>
  <c r="AA972" i="4"/>
  <c r="AA971" i="4"/>
  <c r="AA970" i="4"/>
  <c r="AA969" i="4"/>
  <c r="AA968" i="4"/>
  <c r="AA967" i="4"/>
  <c r="AA966" i="4"/>
  <c r="AA965" i="4"/>
  <c r="AA964" i="4"/>
  <c r="AA963" i="4"/>
  <c r="AA962" i="4"/>
  <c r="AA961" i="4"/>
  <c r="AA960" i="4"/>
  <c r="AA959" i="4"/>
  <c r="AA958" i="4"/>
  <c r="AA957" i="4"/>
  <c r="AA956" i="4"/>
  <c r="AA955" i="4"/>
  <c r="AA954" i="4"/>
  <c r="AA953" i="4"/>
  <c r="AA952" i="4"/>
  <c r="AA951" i="4"/>
  <c r="AA950" i="4"/>
  <c r="AA949" i="4"/>
  <c r="AA948" i="4"/>
  <c r="AA947" i="4"/>
  <c r="AA946" i="4"/>
  <c r="AA945" i="4"/>
  <c r="AA944" i="4"/>
  <c r="AA943" i="4"/>
  <c r="AA942" i="4"/>
  <c r="AA941" i="4"/>
  <c r="AA940" i="4"/>
  <c r="AA939" i="4"/>
  <c r="AA938" i="4"/>
  <c r="AA937" i="4"/>
  <c r="AA936" i="4"/>
  <c r="AA935" i="4"/>
  <c r="AA934" i="4"/>
  <c r="AA933" i="4"/>
  <c r="AA932" i="4"/>
  <c r="AA931" i="4"/>
  <c r="AA930" i="4"/>
  <c r="AA929" i="4"/>
  <c r="AA928" i="4"/>
  <c r="AA927" i="4"/>
  <c r="AA926" i="4"/>
  <c r="AA925" i="4"/>
  <c r="AA924" i="4"/>
  <c r="AA923" i="4"/>
  <c r="AA922" i="4"/>
  <c r="AA921" i="4"/>
  <c r="AA920" i="4"/>
  <c r="AA919" i="4"/>
  <c r="AA918" i="4"/>
  <c r="AA917" i="4"/>
  <c r="AA916" i="4"/>
  <c r="AA915" i="4"/>
  <c r="AA914" i="4"/>
  <c r="AA913" i="4"/>
  <c r="AA912" i="4"/>
  <c r="AA911" i="4"/>
  <c r="AA910" i="4"/>
  <c r="AA909" i="4"/>
  <c r="AA908" i="4"/>
  <c r="AA907" i="4"/>
  <c r="AA906" i="4"/>
  <c r="AA905" i="4"/>
  <c r="AA904" i="4"/>
  <c r="AA903" i="4"/>
  <c r="AA902" i="4"/>
  <c r="AA901" i="4"/>
  <c r="AA900" i="4"/>
  <c r="AA899" i="4"/>
  <c r="AA898" i="4"/>
  <c r="AA897" i="4"/>
  <c r="AA896" i="4"/>
  <c r="AA895" i="4"/>
  <c r="AA894" i="4"/>
  <c r="AA893" i="4"/>
  <c r="AA892" i="4"/>
  <c r="AA891" i="4"/>
  <c r="AA890" i="4"/>
  <c r="AA889" i="4"/>
  <c r="AA888" i="4"/>
  <c r="AA887" i="4"/>
  <c r="AA886" i="4"/>
  <c r="AA885" i="4"/>
  <c r="AA884" i="4"/>
  <c r="AA883" i="4"/>
  <c r="AA882" i="4"/>
  <c r="AA881" i="4"/>
  <c r="AA880" i="4"/>
  <c r="AA879" i="4"/>
  <c r="AA878" i="4"/>
  <c r="AA877" i="4"/>
  <c r="AA876" i="4"/>
  <c r="AA875" i="4"/>
  <c r="AA874" i="4"/>
  <c r="AA873" i="4"/>
  <c r="AA872" i="4"/>
  <c r="AA871" i="4"/>
  <c r="AA870" i="4"/>
  <c r="AA869" i="4"/>
  <c r="AA868" i="4"/>
  <c r="AA867" i="4"/>
  <c r="AA866" i="4"/>
  <c r="AA865" i="4"/>
  <c r="AA864" i="4"/>
  <c r="AA863" i="4"/>
  <c r="AA862" i="4"/>
  <c r="AA861" i="4"/>
  <c r="AA860" i="4"/>
  <c r="AA859" i="4"/>
  <c r="AA858" i="4"/>
  <c r="AA857" i="4"/>
  <c r="AA856" i="4"/>
  <c r="AA855" i="4"/>
  <c r="AA854" i="4"/>
  <c r="AA853" i="4"/>
  <c r="AA852" i="4"/>
  <c r="AA851" i="4"/>
  <c r="AA850" i="4"/>
  <c r="AA849" i="4"/>
  <c r="AA848" i="4"/>
  <c r="AA847" i="4"/>
  <c r="AA846" i="4"/>
  <c r="AA845" i="4"/>
  <c r="AA844" i="4"/>
  <c r="AA843" i="4"/>
  <c r="AA842" i="4"/>
  <c r="AA841" i="4"/>
  <c r="AA840" i="4"/>
  <c r="AA839" i="4"/>
  <c r="AA838" i="4"/>
  <c r="AA837" i="4"/>
  <c r="AA836" i="4"/>
  <c r="AA835" i="4"/>
  <c r="AA834" i="4"/>
  <c r="AA833" i="4"/>
  <c r="AA832" i="4"/>
  <c r="AA831" i="4"/>
  <c r="AA830" i="4"/>
  <c r="AA829" i="4"/>
  <c r="AA828" i="4"/>
  <c r="AA827" i="4"/>
  <c r="AA826" i="4"/>
  <c r="AA825" i="4"/>
  <c r="AA824" i="4"/>
  <c r="AA823" i="4"/>
  <c r="AA822" i="4"/>
  <c r="AA821" i="4"/>
  <c r="AA820" i="4"/>
  <c r="AA819" i="4"/>
  <c r="AA818" i="4"/>
  <c r="AA817" i="4"/>
  <c r="AA816" i="4"/>
  <c r="AA815" i="4"/>
  <c r="AA814" i="4"/>
  <c r="AA813" i="4"/>
  <c r="AA812" i="4"/>
  <c r="AA811" i="4"/>
  <c r="AA810" i="4"/>
  <c r="AA809" i="4"/>
  <c r="AA808" i="4"/>
  <c r="AA807" i="4"/>
  <c r="AA806" i="4"/>
  <c r="AA805" i="4"/>
  <c r="AA804" i="4"/>
  <c r="AA803" i="4"/>
  <c r="AA802" i="4"/>
  <c r="AA801" i="4"/>
  <c r="AA800" i="4"/>
  <c r="AA799" i="4"/>
  <c r="AA798" i="4"/>
  <c r="AA797" i="4"/>
  <c r="AA796" i="4"/>
  <c r="AA795" i="4"/>
  <c r="AA794" i="4"/>
  <c r="AA793" i="4"/>
  <c r="AA792" i="4"/>
  <c r="AA791" i="4"/>
  <c r="AA790" i="4"/>
  <c r="AA789" i="4"/>
  <c r="AA788" i="4"/>
  <c r="AA787" i="4"/>
  <c r="AA786" i="4"/>
  <c r="AA785" i="4"/>
  <c r="AA784" i="4"/>
  <c r="AA783" i="4"/>
  <c r="AA782" i="4"/>
  <c r="AA781" i="4"/>
  <c r="AA780" i="4"/>
  <c r="AA779" i="4"/>
  <c r="AA778" i="4"/>
  <c r="AA777" i="4"/>
  <c r="AA776" i="4"/>
  <c r="AA775" i="4"/>
  <c r="AA774" i="4"/>
  <c r="AA773" i="4"/>
  <c r="AA772" i="4"/>
  <c r="AA771" i="4"/>
  <c r="AA770" i="4"/>
  <c r="AA769" i="4"/>
  <c r="AA768" i="4"/>
  <c r="AA767" i="4"/>
  <c r="AA766" i="4"/>
  <c r="AA765" i="4"/>
  <c r="AA764" i="4"/>
  <c r="AA763" i="4"/>
  <c r="AA762" i="4"/>
  <c r="AA761" i="4"/>
  <c r="AA760" i="4"/>
  <c r="AA759" i="4"/>
  <c r="AA758" i="4"/>
  <c r="AA757" i="4"/>
  <c r="AA756" i="4"/>
  <c r="AA755" i="4"/>
  <c r="AA754" i="4"/>
  <c r="AA753" i="4"/>
  <c r="AA752" i="4"/>
  <c r="AA751" i="4"/>
  <c r="AA750" i="4"/>
  <c r="AA749" i="4"/>
  <c r="AA748" i="4"/>
  <c r="AA747" i="4"/>
  <c r="AA746" i="4"/>
  <c r="AA745" i="4"/>
  <c r="AA744" i="4"/>
  <c r="AA743" i="4"/>
  <c r="AA742" i="4"/>
  <c r="AA741" i="4"/>
  <c r="AA740" i="4"/>
  <c r="AA739" i="4"/>
  <c r="AA738" i="4"/>
  <c r="AA737" i="4"/>
  <c r="AA736" i="4"/>
  <c r="AA735" i="4"/>
  <c r="AA734" i="4"/>
  <c r="AA733" i="4"/>
  <c r="AA732" i="4"/>
  <c r="AA731" i="4"/>
  <c r="AA730" i="4"/>
  <c r="AA729" i="4"/>
  <c r="AA728" i="4"/>
  <c r="AA727" i="4"/>
  <c r="AA726" i="4"/>
  <c r="AA725" i="4"/>
  <c r="AA724" i="4"/>
  <c r="AA723" i="4"/>
  <c r="AA722" i="4"/>
  <c r="AA721" i="4"/>
  <c r="AA720" i="4"/>
  <c r="AA719" i="4"/>
  <c r="AA718" i="4"/>
  <c r="AA717" i="4"/>
  <c r="AA716" i="4"/>
  <c r="AA715" i="4"/>
  <c r="AA714" i="4"/>
  <c r="AA713" i="4"/>
  <c r="AA712" i="4"/>
  <c r="AA711" i="4"/>
  <c r="AA710" i="4"/>
  <c r="AA709" i="4"/>
  <c r="AA708" i="4"/>
  <c r="AA707" i="4"/>
  <c r="AA706" i="4"/>
  <c r="AA705" i="4"/>
  <c r="AA704" i="4"/>
  <c r="AA703" i="4"/>
  <c r="AA702" i="4"/>
  <c r="AA701" i="4"/>
  <c r="AA700" i="4"/>
  <c r="AA699" i="4"/>
  <c r="AA698" i="4"/>
  <c r="AA697" i="4"/>
  <c r="AA696" i="4"/>
  <c r="AA695" i="4"/>
  <c r="AA694" i="4"/>
  <c r="AA693" i="4"/>
  <c r="AA692" i="4"/>
  <c r="AA691" i="4"/>
  <c r="AA690" i="4"/>
  <c r="AA689" i="4"/>
  <c r="AA688" i="4"/>
  <c r="AA687" i="4"/>
  <c r="AA686" i="4"/>
  <c r="AA685" i="4"/>
  <c r="AA684" i="4"/>
  <c r="AA683" i="4"/>
  <c r="AA682" i="4"/>
  <c r="AA681" i="4"/>
  <c r="AA680" i="4"/>
  <c r="AA679" i="4"/>
  <c r="AA678" i="4"/>
  <c r="AA677" i="4"/>
  <c r="AA676" i="4"/>
  <c r="AA675" i="4"/>
  <c r="AA674" i="4"/>
  <c r="AA673" i="4"/>
  <c r="AA672" i="4"/>
  <c r="AA671" i="4"/>
  <c r="AA670" i="4"/>
  <c r="AA669" i="4"/>
  <c r="AA668" i="4"/>
  <c r="AA667" i="4"/>
  <c r="AA666" i="4"/>
  <c r="AA665" i="4"/>
  <c r="AA664" i="4"/>
  <c r="AA663" i="4"/>
  <c r="AA662" i="4"/>
  <c r="AA661" i="4"/>
  <c r="AA660" i="4"/>
  <c r="AA659" i="4"/>
  <c r="AA658" i="4"/>
  <c r="AA657" i="4"/>
  <c r="AA656" i="4"/>
  <c r="AA655" i="4"/>
  <c r="AA654" i="4"/>
  <c r="AA653" i="4"/>
  <c r="AA652" i="4"/>
  <c r="AA651" i="4"/>
  <c r="AA650" i="4"/>
  <c r="AA649" i="4"/>
  <c r="AA648" i="4"/>
  <c r="AA647" i="4"/>
  <c r="AA646" i="4"/>
  <c r="AA645" i="4"/>
  <c r="AA644" i="4"/>
  <c r="AA643" i="4"/>
  <c r="AA642" i="4"/>
  <c r="AA641" i="4"/>
  <c r="AA640" i="4"/>
  <c r="AA639" i="4"/>
  <c r="AA638" i="4"/>
  <c r="AA637" i="4"/>
  <c r="AA636" i="4"/>
  <c r="AA635" i="4"/>
  <c r="AA634" i="4"/>
  <c r="AA633" i="4"/>
  <c r="AA632" i="4"/>
  <c r="AA631" i="4"/>
  <c r="AA630" i="4"/>
  <c r="AA629" i="4"/>
  <c r="AA628" i="4"/>
  <c r="AA627" i="4"/>
  <c r="AA626" i="4"/>
  <c r="AA625" i="4"/>
  <c r="AA624" i="4"/>
  <c r="AA623" i="4"/>
  <c r="AA622" i="4"/>
  <c r="AA621" i="4"/>
  <c r="AA620" i="4"/>
  <c r="AA619" i="4"/>
  <c r="AA618" i="4"/>
  <c r="AA617" i="4"/>
  <c r="AA616" i="4"/>
  <c r="AA615" i="4"/>
  <c r="AA614" i="4"/>
  <c r="AA613" i="4"/>
  <c r="AA612" i="4"/>
  <c r="AA611" i="4"/>
  <c r="AA610" i="4"/>
  <c r="AA609" i="4"/>
  <c r="AA608" i="4"/>
  <c r="AA607" i="4"/>
  <c r="AA606" i="4"/>
  <c r="AA605" i="4"/>
  <c r="AA604" i="4"/>
  <c r="AA603" i="4"/>
  <c r="AA602" i="4"/>
  <c r="AA601" i="4"/>
  <c r="AA600" i="4"/>
  <c r="AA599" i="4"/>
  <c r="AA598" i="4"/>
  <c r="AA597" i="4"/>
  <c r="AA596" i="4"/>
  <c r="AA595" i="4"/>
  <c r="AA594" i="4"/>
  <c r="AA593" i="4"/>
  <c r="AA592" i="4"/>
  <c r="AA591" i="4"/>
  <c r="AA590" i="4"/>
  <c r="AA589" i="4"/>
  <c r="AA588" i="4"/>
  <c r="AA587" i="4"/>
  <c r="AA586" i="4"/>
  <c r="AA585" i="4"/>
  <c r="AA584" i="4"/>
  <c r="AA583" i="4"/>
  <c r="AA582" i="4"/>
  <c r="AA581" i="4"/>
  <c r="AA580" i="4"/>
  <c r="AA579" i="4"/>
  <c r="AA578" i="4"/>
  <c r="AA577" i="4"/>
  <c r="AA576" i="4"/>
  <c r="AA575" i="4"/>
  <c r="AA574" i="4"/>
  <c r="AA573" i="4"/>
  <c r="AA572" i="4"/>
  <c r="AA571" i="4"/>
  <c r="AA570" i="4"/>
  <c r="AA569" i="4"/>
  <c r="AA568" i="4"/>
  <c r="AA567" i="4"/>
  <c r="AA566" i="4"/>
  <c r="AA565" i="4"/>
  <c r="AA564" i="4"/>
  <c r="AA563" i="4"/>
  <c r="AA562" i="4"/>
  <c r="AA561" i="4"/>
  <c r="AA560" i="4"/>
  <c r="AA559" i="4"/>
  <c r="AA558" i="4"/>
  <c r="AA557" i="4"/>
  <c r="AA556" i="4"/>
  <c r="AA555" i="4"/>
  <c r="AA554" i="4"/>
  <c r="AA553" i="4"/>
  <c r="AA552" i="4"/>
  <c r="AA551" i="4"/>
  <c r="AA550" i="4"/>
  <c r="AA549" i="4"/>
  <c r="AA548" i="4"/>
  <c r="AA547" i="4"/>
  <c r="AA546" i="4"/>
  <c r="AA545" i="4"/>
  <c r="AA544" i="4"/>
  <c r="AA543" i="4"/>
  <c r="AA542" i="4"/>
  <c r="AA541" i="4"/>
  <c r="AA540" i="4"/>
  <c r="AA539" i="4"/>
  <c r="AA538" i="4"/>
  <c r="AA537" i="4"/>
  <c r="AA536" i="4"/>
  <c r="AA535" i="4"/>
  <c r="AA534" i="4"/>
  <c r="AA533" i="4"/>
  <c r="AA532" i="4"/>
  <c r="AA531" i="4"/>
  <c r="AA530" i="4"/>
  <c r="AA529" i="4"/>
  <c r="AA528" i="4"/>
  <c r="AA527" i="4"/>
  <c r="AA526" i="4"/>
  <c r="AA525" i="4"/>
  <c r="AA524" i="4"/>
  <c r="AA523" i="4"/>
  <c r="AA522" i="4"/>
  <c r="AA521" i="4"/>
  <c r="AA520" i="4"/>
  <c r="AA519" i="4"/>
  <c r="AA518" i="4"/>
  <c r="AA517" i="4"/>
  <c r="AA516" i="4"/>
  <c r="AA515" i="4"/>
  <c r="AA514" i="4"/>
  <c r="AA513" i="4"/>
  <c r="AA512" i="4"/>
  <c r="AA511" i="4"/>
  <c r="AA510" i="4"/>
  <c r="AA509" i="4"/>
  <c r="AA508" i="4"/>
  <c r="AA507" i="4"/>
  <c r="AA506" i="4"/>
  <c r="AA505" i="4"/>
  <c r="AA504" i="4"/>
  <c r="AA503" i="4"/>
  <c r="AA502" i="4"/>
  <c r="AA501" i="4"/>
  <c r="AA500" i="4"/>
  <c r="AA499" i="4"/>
  <c r="AA498" i="4"/>
  <c r="AA497" i="4"/>
  <c r="AA496" i="4"/>
  <c r="AA495" i="4"/>
  <c r="AA494" i="4"/>
  <c r="AA493" i="4"/>
  <c r="AA492" i="4"/>
  <c r="AA491" i="4"/>
  <c r="AA490" i="4"/>
  <c r="AA489" i="4"/>
  <c r="AA488" i="4"/>
  <c r="AA487" i="4"/>
  <c r="AA486" i="4"/>
  <c r="AA485" i="4"/>
  <c r="AA484" i="4"/>
  <c r="AA483" i="4"/>
  <c r="AA482" i="4"/>
  <c r="AA481" i="4"/>
  <c r="AA480" i="4"/>
  <c r="AA479" i="4"/>
  <c r="AA478" i="4"/>
  <c r="AA477" i="4"/>
  <c r="AA476" i="4"/>
  <c r="AA475" i="4"/>
  <c r="AA474" i="4"/>
  <c r="AA473" i="4"/>
  <c r="AA472" i="4"/>
  <c r="AA471" i="4"/>
  <c r="AA470" i="4"/>
  <c r="AA469" i="4"/>
  <c r="AA468" i="4"/>
  <c r="AA467" i="4"/>
  <c r="AA466" i="4"/>
  <c r="AA465" i="4"/>
  <c r="AA464" i="4"/>
  <c r="AA463" i="4"/>
  <c r="AA462" i="4"/>
  <c r="AA461" i="4"/>
  <c r="AA460" i="4"/>
  <c r="AA459" i="4"/>
  <c r="AA458" i="4"/>
  <c r="AA457" i="4"/>
  <c r="AA456" i="4"/>
  <c r="AA455" i="4"/>
  <c r="AA454" i="4"/>
  <c r="AA453" i="4"/>
  <c r="AA452" i="4"/>
  <c r="AA451" i="4"/>
  <c r="AA450" i="4"/>
  <c r="AA449" i="4"/>
  <c r="AA448" i="4"/>
  <c r="AA447" i="4"/>
  <c r="AA446" i="4"/>
  <c r="AA445" i="4"/>
  <c r="AA444" i="4"/>
  <c r="AA443" i="4"/>
  <c r="AA442" i="4"/>
  <c r="AA441" i="4"/>
  <c r="AA440" i="4"/>
  <c r="AA439" i="4"/>
  <c r="AA438" i="4"/>
  <c r="AA437" i="4"/>
  <c r="AA436" i="4"/>
  <c r="AA435" i="4"/>
  <c r="AA434" i="4"/>
  <c r="AA433" i="4"/>
  <c r="AA432" i="4"/>
  <c r="AA431" i="4"/>
  <c r="AA430" i="4"/>
  <c r="AA429" i="4"/>
  <c r="AA428" i="4"/>
  <c r="AA427" i="4"/>
  <c r="AA426" i="4"/>
  <c r="AA425" i="4"/>
  <c r="AA424" i="4"/>
  <c r="AA423" i="4"/>
  <c r="AA422" i="4"/>
  <c r="AA421" i="4"/>
  <c r="AA420" i="4"/>
  <c r="AA419" i="4"/>
  <c r="AA418" i="4"/>
  <c r="AA417" i="4"/>
  <c r="AA416" i="4"/>
  <c r="AA415" i="4"/>
  <c r="AA414" i="4"/>
  <c r="AA413" i="4"/>
  <c r="AA412" i="4"/>
  <c r="AA411" i="4"/>
  <c r="AA410" i="4"/>
  <c r="AA409" i="4"/>
  <c r="AA408" i="4"/>
  <c r="AA407" i="4"/>
  <c r="AA406" i="4"/>
  <c r="AA405" i="4"/>
  <c r="AA404" i="4"/>
  <c r="AA403" i="4"/>
  <c r="AA402" i="4"/>
  <c r="AA401" i="4"/>
  <c r="AA400" i="4"/>
  <c r="AA399" i="4"/>
  <c r="AA398" i="4"/>
  <c r="AA397" i="4"/>
  <c r="AA396" i="4"/>
  <c r="AA395" i="4"/>
  <c r="AA394" i="4"/>
  <c r="AA393" i="4"/>
  <c r="AA392" i="4"/>
  <c r="AA391" i="4"/>
  <c r="AA390" i="4"/>
  <c r="AA389" i="4"/>
  <c r="AA388" i="4"/>
  <c r="AA387" i="4"/>
  <c r="AA386" i="4"/>
  <c r="AA385" i="4"/>
  <c r="AA384" i="4"/>
  <c r="AA383" i="4"/>
  <c r="AA382" i="4"/>
  <c r="AA381" i="4"/>
  <c r="AA380" i="4"/>
  <c r="AA379" i="4"/>
  <c r="AA378" i="4"/>
  <c r="AA377" i="4"/>
  <c r="AA376" i="4"/>
  <c r="AA375" i="4"/>
  <c r="AA374" i="4"/>
  <c r="AA373" i="4"/>
  <c r="AA372" i="4"/>
  <c r="AA371" i="4"/>
  <c r="AA370" i="4"/>
  <c r="AA369" i="4"/>
  <c r="AA368" i="4"/>
  <c r="AA367" i="4"/>
  <c r="AA366" i="4"/>
  <c r="AA365" i="4"/>
  <c r="AA364" i="4"/>
  <c r="AA363" i="4"/>
  <c r="AA362" i="4"/>
  <c r="AA361" i="4"/>
  <c r="AA360" i="4"/>
  <c r="AA359" i="4"/>
  <c r="AA358" i="4"/>
  <c r="AA357" i="4"/>
  <c r="AA356" i="4"/>
  <c r="AA355" i="4"/>
  <c r="AA354" i="4"/>
  <c r="AA353" i="4"/>
  <c r="AA352" i="4"/>
  <c r="AA351" i="4"/>
  <c r="AA350" i="4"/>
  <c r="AA349" i="4"/>
  <c r="AA348" i="4"/>
  <c r="AA347" i="4"/>
  <c r="AA346" i="4"/>
  <c r="AA345" i="4"/>
  <c r="AA344" i="4"/>
  <c r="AA343" i="4"/>
  <c r="AA342" i="4"/>
  <c r="AA341" i="4"/>
  <c r="AA340" i="4"/>
  <c r="AA339" i="4"/>
  <c r="AA338" i="4"/>
  <c r="AA337" i="4"/>
  <c r="AA336" i="4"/>
  <c r="AA335" i="4"/>
  <c r="AA334" i="4"/>
  <c r="AA333" i="4"/>
  <c r="AA332" i="4"/>
  <c r="AA331" i="4"/>
  <c r="AA330" i="4"/>
  <c r="AA329" i="4"/>
  <c r="AA328" i="4"/>
  <c r="AA327" i="4"/>
  <c r="AA326" i="4"/>
  <c r="AA325" i="4"/>
  <c r="AA324" i="4"/>
  <c r="AA323" i="4"/>
  <c r="AA322" i="4"/>
  <c r="AA321" i="4"/>
  <c r="AA320" i="4"/>
  <c r="AA319" i="4"/>
  <c r="AA318" i="4"/>
  <c r="AA317" i="4"/>
  <c r="AA316" i="4"/>
  <c r="AA315" i="4"/>
  <c r="AA314" i="4"/>
  <c r="AA313" i="4"/>
  <c r="AA312" i="4"/>
  <c r="AA311" i="4"/>
  <c r="AA310" i="4"/>
  <c r="AA309" i="4"/>
  <c r="AA308" i="4"/>
  <c r="AA307" i="4"/>
  <c r="AA306" i="4"/>
  <c r="AA305" i="4"/>
  <c r="AA304" i="4"/>
  <c r="AA303" i="4"/>
  <c r="AA302" i="4"/>
  <c r="AA301" i="4"/>
  <c r="AA300" i="4"/>
  <c r="AA299" i="4"/>
  <c r="AA298" i="4"/>
  <c r="AA297" i="4"/>
  <c r="AA296" i="4"/>
  <c r="AA295" i="4"/>
  <c r="AA294" i="4"/>
  <c r="AA293" i="4"/>
  <c r="AA292" i="4"/>
  <c r="AA291" i="4"/>
  <c r="AA290" i="4"/>
  <c r="AA289" i="4"/>
  <c r="AA288" i="4"/>
  <c r="AA287" i="4"/>
  <c r="AA286" i="4"/>
  <c r="AA285" i="4"/>
  <c r="AA284" i="4"/>
  <c r="AA283" i="4"/>
  <c r="AA282" i="4"/>
  <c r="AA281" i="4"/>
  <c r="AA280" i="4"/>
  <c r="AA279" i="4"/>
  <c r="AA278" i="4"/>
  <c r="AA277" i="4"/>
  <c r="AA276" i="4"/>
  <c r="AA275" i="4"/>
  <c r="AA274" i="4"/>
  <c r="AA273" i="4"/>
  <c r="AA272" i="4"/>
  <c r="AA271" i="4"/>
  <c r="AA270" i="4"/>
  <c r="AA269" i="4"/>
  <c r="AA268" i="4"/>
  <c r="AA267" i="4"/>
  <c r="AA266" i="4"/>
  <c r="AA265" i="4"/>
  <c r="AA264" i="4"/>
  <c r="AA263" i="4"/>
  <c r="AA262" i="4"/>
  <c r="AA261" i="4"/>
  <c r="AA260" i="4"/>
  <c r="AA259" i="4"/>
  <c r="AA258" i="4"/>
  <c r="AA257" i="4"/>
  <c r="AA256" i="4"/>
  <c r="AA255" i="4"/>
  <c r="AA254" i="4"/>
  <c r="AA253" i="4"/>
  <c r="AA252" i="4"/>
  <c r="AA251" i="4"/>
  <c r="AA250" i="4"/>
  <c r="AA249" i="4"/>
  <c r="AA248" i="4"/>
  <c r="AA247" i="4"/>
  <c r="AA246" i="4"/>
  <c r="AA245" i="4"/>
  <c r="AA244" i="4"/>
  <c r="AA243" i="4"/>
  <c r="AA242" i="4"/>
  <c r="AA241" i="4"/>
  <c r="AA240" i="4"/>
  <c r="AA239" i="4"/>
  <c r="AA238" i="4"/>
  <c r="AA237" i="4"/>
  <c r="AA236" i="4"/>
  <c r="AA235" i="4"/>
  <c r="AA234" i="4"/>
  <c r="AA233" i="4"/>
  <c r="AA232" i="4"/>
  <c r="AA231" i="4"/>
  <c r="AA230" i="4"/>
  <c r="AA229" i="4"/>
  <c r="AA228" i="4"/>
  <c r="AA227" i="4"/>
  <c r="AA226" i="4"/>
  <c r="AA225" i="4"/>
  <c r="AA224" i="4"/>
  <c r="AA223" i="4"/>
  <c r="AA222" i="4"/>
  <c r="AA221" i="4"/>
  <c r="AA220" i="4"/>
  <c r="AA219" i="4"/>
  <c r="AA218" i="4"/>
  <c r="AA217" i="4"/>
  <c r="AA216" i="4"/>
  <c r="AA215" i="4"/>
  <c r="AA214" i="4"/>
  <c r="AA213" i="4"/>
  <c r="AA212" i="4"/>
  <c r="AA211" i="4"/>
  <c r="AA210" i="4"/>
  <c r="AA209" i="4"/>
  <c r="AA208" i="4"/>
  <c r="AA207" i="4"/>
  <c r="AA206" i="4"/>
  <c r="AA205" i="4"/>
  <c r="AA204" i="4"/>
  <c r="AA203" i="4"/>
  <c r="AA202" i="4"/>
  <c r="AA201" i="4"/>
  <c r="AA200" i="4"/>
  <c r="AA199" i="4"/>
  <c r="AA198" i="4"/>
  <c r="AA197" i="4"/>
  <c r="AA196" i="4"/>
  <c r="AA195" i="4"/>
  <c r="AA194" i="4"/>
  <c r="AA193" i="4"/>
  <c r="AA192" i="4"/>
  <c r="AA191" i="4"/>
  <c r="AA190" i="4"/>
  <c r="AA189" i="4"/>
  <c r="AA188" i="4"/>
  <c r="AA187" i="4"/>
  <c r="AA186" i="4"/>
  <c r="AA185" i="4"/>
  <c r="AA184" i="4"/>
  <c r="AA183" i="4"/>
  <c r="AA182" i="4"/>
  <c r="AA181" i="4"/>
  <c r="AA180" i="4"/>
  <c r="AA179" i="4"/>
  <c r="AA178" i="4"/>
  <c r="AA177" i="4"/>
  <c r="AA176" i="4"/>
  <c r="AA175" i="4"/>
  <c r="AA174" i="4"/>
  <c r="AA173" i="4"/>
  <c r="AA172" i="4"/>
  <c r="AA171" i="4"/>
  <c r="AA170" i="4"/>
  <c r="AA169" i="4"/>
  <c r="AA168" i="4"/>
  <c r="AA167" i="4"/>
  <c r="AA166" i="4"/>
  <c r="AA165" i="4"/>
  <c r="AA164" i="4"/>
  <c r="AA163" i="4"/>
  <c r="AA162" i="4"/>
  <c r="AA161" i="4"/>
  <c r="AA160" i="4"/>
  <c r="AA159" i="4"/>
  <c r="AA158" i="4"/>
  <c r="AA157" i="4"/>
  <c r="AA156" i="4"/>
  <c r="AA155" i="4"/>
  <c r="AA154" i="4"/>
  <c r="AA153" i="4"/>
  <c r="AA152" i="4"/>
  <c r="AA151" i="4"/>
  <c r="AA150" i="4"/>
  <c r="AA149" i="4"/>
  <c r="AA148" i="4"/>
  <c r="AA147" i="4"/>
  <c r="AA146" i="4"/>
  <c r="AA145" i="4"/>
  <c r="AA144" i="4"/>
  <c r="AA143" i="4"/>
  <c r="AA142" i="4"/>
  <c r="AA141" i="4"/>
  <c r="AA140" i="4"/>
  <c r="AA139" i="4"/>
  <c r="AA138" i="4"/>
  <c r="AA137" i="4"/>
  <c r="AA136" i="4"/>
  <c r="AA135" i="4"/>
  <c r="AA134" i="4"/>
  <c r="AA133" i="4"/>
  <c r="AA132" i="4"/>
  <c r="AA131" i="4"/>
  <c r="AA130" i="4"/>
  <c r="AA129" i="4"/>
  <c r="AA128" i="4"/>
  <c r="AA127" i="4"/>
  <c r="AA126" i="4"/>
  <c r="AA125" i="4"/>
  <c r="AA124" i="4"/>
  <c r="AA123" i="4"/>
  <c r="AA122" i="4"/>
  <c r="AA121" i="4"/>
  <c r="AA120" i="4"/>
  <c r="AA119" i="4"/>
  <c r="AA118" i="4"/>
  <c r="AA117" i="4"/>
  <c r="AA116" i="4"/>
  <c r="AA115" i="4"/>
  <c r="AA114" i="4"/>
  <c r="AA113" i="4"/>
  <c r="AA112" i="4"/>
  <c r="AA111" i="4"/>
  <c r="AA110" i="4"/>
  <c r="AA109" i="4"/>
  <c r="AA108" i="4"/>
  <c r="AA107" i="4"/>
  <c r="AA106" i="4"/>
  <c r="AA105" i="4"/>
  <c r="AA104" i="4"/>
  <c r="AA103" i="4"/>
  <c r="AA102" i="4"/>
  <c r="AA101" i="4"/>
  <c r="AA100" i="4"/>
  <c r="AA99" i="4"/>
  <c r="AA98" i="4"/>
  <c r="AA97" i="4"/>
  <c r="AA96" i="4"/>
  <c r="AA95" i="4"/>
  <c r="AA94" i="4"/>
  <c r="AA93" i="4"/>
  <c r="AA92" i="4"/>
  <c r="AA91" i="4"/>
  <c r="AA90" i="4"/>
  <c r="AA89" i="4"/>
  <c r="AA88" i="4"/>
  <c r="AA87" i="4"/>
  <c r="AA86" i="4"/>
  <c r="AA85" i="4"/>
  <c r="AA84" i="4"/>
  <c r="AA83" i="4"/>
  <c r="AA82" i="4"/>
  <c r="AA81" i="4"/>
  <c r="AA80" i="4"/>
  <c r="AA79" i="4"/>
  <c r="AA78" i="4"/>
  <c r="AA77" i="4"/>
  <c r="AA76" i="4"/>
  <c r="AA75" i="4"/>
  <c r="AA74" i="4"/>
  <c r="AA73" i="4"/>
  <c r="AA72" i="4"/>
  <c r="AA71" i="4"/>
  <c r="AA70" i="4"/>
  <c r="AA69" i="4"/>
  <c r="AA68" i="4"/>
  <c r="AA67" i="4"/>
  <c r="AA66" i="4"/>
  <c r="AA65" i="4"/>
  <c r="AA64" i="4"/>
  <c r="AA63" i="4"/>
  <c r="AA62" i="4"/>
  <c r="AA61" i="4"/>
  <c r="AA60" i="4"/>
  <c r="AA59" i="4"/>
  <c r="AA58" i="4"/>
  <c r="AA57" i="4"/>
  <c r="AA56" i="4"/>
  <c r="AA55" i="4"/>
  <c r="AA54" i="4"/>
  <c r="AA53" i="4"/>
  <c r="AA52" i="4"/>
  <c r="AA51" i="4"/>
  <c r="AA50" i="4"/>
  <c r="AA49" i="4"/>
  <c r="AA48" i="4"/>
  <c r="AA47" i="4"/>
  <c r="AA46" i="4"/>
  <c r="AA45" i="4"/>
  <c r="AA44" i="4"/>
  <c r="AA43" i="4"/>
  <c r="AA42" i="4"/>
  <c r="AA41" i="4"/>
  <c r="AA40" i="4"/>
  <c r="AA39" i="4"/>
  <c r="AA38" i="4"/>
  <c r="AA37" i="4"/>
  <c r="AA36" i="4"/>
  <c r="AA35" i="4"/>
  <c r="AA34" i="4"/>
  <c r="AA33" i="4"/>
  <c r="AA32" i="4"/>
  <c r="AA31" i="4"/>
  <c r="AA30" i="4"/>
  <c r="AA29" i="4"/>
  <c r="AA28" i="4"/>
  <c r="AA27" i="4"/>
  <c r="AA26" i="4"/>
  <c r="AA25" i="4"/>
  <c r="AA24" i="4"/>
  <c r="AA23" i="4"/>
  <c r="AA22" i="4"/>
  <c r="AA21" i="4"/>
  <c r="AA20" i="4"/>
  <c r="AA19" i="4"/>
  <c r="AA18" i="4"/>
  <c r="AA17" i="4"/>
  <c r="AA16" i="4"/>
  <c r="AA15" i="4"/>
  <c r="AA14" i="4"/>
  <c r="AA13" i="4"/>
  <c r="AA12" i="4"/>
  <c r="AA11" i="4"/>
  <c r="AA10" i="4"/>
  <c r="AA9" i="4"/>
  <c r="AA8" i="4"/>
  <c r="AA7" i="4"/>
  <c r="AA6" i="4"/>
  <c r="AA5" i="4"/>
  <c r="AA4" i="4"/>
  <c r="X3" i="4"/>
  <c r="X4" i="4"/>
  <c r="X5" i="4"/>
  <c r="Y1402" i="4"/>
  <c r="Y1394" i="4"/>
  <c r="Y1392" i="4"/>
  <c r="Y1391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  <c r="D3" i="4"/>
  <c r="D2" i="4"/>
  <c r="H9" i="4" l="1"/>
  <c r="H2" i="4"/>
  <c r="H3" i="4"/>
  <c r="H5" i="4"/>
  <c r="H15" i="4"/>
  <c r="H4" i="4"/>
  <c r="H8" i="4"/>
  <c r="E18" i="4"/>
  <c r="E27" i="4" s="1"/>
  <c r="H18" i="4"/>
  <c r="G18" i="4"/>
  <c r="H14" i="4"/>
  <c r="H12" i="4"/>
  <c r="X2319" i="4"/>
  <c r="X2216" i="4"/>
  <c r="X2215" i="4"/>
  <c r="X2214" i="4"/>
  <c r="X2213" i="4"/>
  <c r="X1711" i="4"/>
  <c r="X1710" i="4"/>
  <c r="X1599" i="4"/>
  <c r="X1598" i="4"/>
  <c r="X1597" i="4"/>
  <c r="X1596" i="4"/>
  <c r="X1595" i="4"/>
  <c r="X1594" i="4"/>
  <c r="X1593" i="4"/>
  <c r="X1592" i="4"/>
  <c r="X1591" i="4"/>
  <c r="X1590" i="4"/>
  <c r="X1589" i="4"/>
  <c r="X1588" i="4"/>
  <c r="X1587" i="4"/>
  <c r="X1586" i="4"/>
  <c r="X1585" i="4"/>
  <c r="X1584" i="4"/>
  <c r="X1583" i="4"/>
  <c r="X1532" i="4"/>
  <c r="X1531" i="4"/>
  <c r="X1530" i="4"/>
  <c r="X1529" i="4"/>
  <c r="X1528" i="4"/>
  <c r="V12" i="1" l="1"/>
  <c r="AO12" i="1"/>
  <c r="Z12" i="1"/>
  <c r="AD12" i="1" s="1"/>
  <c r="BB12" i="1" s="1"/>
  <c r="J85" i="2"/>
  <c r="K85" i="2" s="1"/>
  <c r="J87" i="2"/>
  <c r="K87" i="2" s="1"/>
  <c r="J88" i="2"/>
  <c r="J86" i="2"/>
  <c r="K86" i="2" s="1"/>
  <c r="K88" i="2" l="1"/>
  <c r="AP12" i="1"/>
  <c r="BC12" i="1"/>
  <c r="AF2090" i="4" l="1"/>
  <c r="AF2091" i="4"/>
  <c r="AF2096" i="4"/>
  <c r="AF2095" i="4"/>
  <c r="AF2094" i="4"/>
  <c r="AF2093" i="4"/>
  <c r="AF2089" i="4"/>
  <c r="AF2088" i="4"/>
  <c r="AE2088" i="4"/>
  <c r="AE2096" i="4"/>
  <c r="AE2095" i="4"/>
  <c r="AE2094" i="4"/>
  <c r="AE2093" i="4"/>
  <c r="AE2092" i="4"/>
  <c r="AE2091" i="4"/>
  <c r="AG2091" i="4" s="1"/>
  <c r="AE2090" i="4"/>
  <c r="AG2090" i="4" s="1"/>
  <c r="AE2089" i="4"/>
  <c r="K5" i="1" l="1"/>
  <c r="J5" i="1"/>
  <c r="G23" i="2"/>
  <c r="I5" i="1" s="1"/>
  <c r="N46" i="1" l="1"/>
  <c r="M46" i="1" s="1"/>
  <c r="Z13" i="1"/>
  <c r="AO13" i="1"/>
  <c r="M13" i="1"/>
  <c r="J81" i="2"/>
  <c r="K81" i="2" s="1"/>
  <c r="H84" i="2"/>
  <c r="J84" i="2" s="1"/>
  <c r="H83" i="2"/>
  <c r="J83" i="2" s="1"/>
  <c r="K83" i="2" s="1"/>
  <c r="H82" i="2"/>
  <c r="H80" i="2"/>
  <c r="J80" i="2" s="1"/>
  <c r="J82" i="2"/>
  <c r="AO11" i="1"/>
  <c r="AO6" i="1"/>
  <c r="AO2" i="1"/>
  <c r="Y11" i="1"/>
  <c r="K84" i="2" l="1"/>
  <c r="K82" i="2"/>
  <c r="K80" i="2"/>
  <c r="V13" i="1"/>
  <c r="AD13" i="1"/>
  <c r="AP13" i="1" s="1"/>
  <c r="Q43" i="1" l="1"/>
  <c r="G8" i="1"/>
  <c r="G9" i="1"/>
  <c r="V11" i="1"/>
  <c r="T11" i="1"/>
  <c r="M11" i="1"/>
  <c r="J79" i="2"/>
  <c r="J78" i="2"/>
  <c r="J77" i="2"/>
  <c r="J76" i="2"/>
  <c r="J75" i="2"/>
  <c r="J74" i="2"/>
  <c r="J73" i="2"/>
  <c r="J72" i="2"/>
  <c r="J71" i="2"/>
  <c r="J70" i="2"/>
  <c r="K70" i="2" s="1"/>
  <c r="J69" i="2"/>
  <c r="J68" i="2"/>
  <c r="J67" i="2"/>
  <c r="J66" i="2"/>
  <c r="K66" i="2" s="1"/>
  <c r="Z10" i="1"/>
  <c r="V10" i="1"/>
  <c r="J65" i="2"/>
  <c r="J64" i="2"/>
  <c r="J63" i="2"/>
  <c r="J62" i="2"/>
  <c r="J61" i="2"/>
  <c r="J60" i="2"/>
  <c r="J59" i="2"/>
  <c r="K59" i="2" s="1"/>
  <c r="J58" i="2"/>
  <c r="J57" i="2"/>
  <c r="N65" i="2"/>
  <c r="N64" i="2"/>
  <c r="N63" i="2"/>
  <c r="N62" i="2"/>
  <c r="N61" i="2"/>
  <c r="N60" i="2"/>
  <c r="N59" i="2"/>
  <c r="N58" i="2"/>
  <c r="N57" i="2"/>
  <c r="K10" i="1"/>
  <c r="J10" i="1"/>
  <c r="E10" i="1"/>
  <c r="K74" i="2" l="1"/>
  <c r="K58" i="2"/>
  <c r="K67" i="2"/>
  <c r="K71" i="2"/>
  <c r="K75" i="2"/>
  <c r="K79" i="2"/>
  <c r="K62" i="2"/>
  <c r="K68" i="2"/>
  <c r="K72" i="2"/>
  <c r="K76" i="2"/>
  <c r="K63" i="2"/>
  <c r="K69" i="2"/>
  <c r="K73" i="2"/>
  <c r="K77" i="2"/>
  <c r="K78" i="2"/>
  <c r="K60" i="2"/>
  <c r="K57" i="2"/>
  <c r="Q39" i="1"/>
  <c r="BN5" i="1"/>
  <c r="BJ10" i="1"/>
  <c r="W10" i="1"/>
  <c r="H45" i="6"/>
  <c r="O41" i="1"/>
  <c r="AO9" i="1"/>
  <c r="Q40" i="1"/>
  <c r="I44" i="6"/>
  <c r="AO8" i="1"/>
  <c r="I43" i="6"/>
  <c r="AD10" i="1"/>
  <c r="L10" i="1"/>
  <c r="X10" i="1"/>
  <c r="G10" i="1"/>
  <c r="K64" i="2"/>
  <c r="K65" i="2"/>
  <c r="K61" i="2"/>
  <c r="AO10" i="1" l="1"/>
  <c r="I45" i="6"/>
  <c r="Q41" i="1"/>
  <c r="BD10" i="1"/>
  <c r="AA3" i="4"/>
  <c r="BE10" i="1" l="1"/>
  <c r="I4" i="4"/>
  <c r="I6" i="4"/>
  <c r="I8" i="4"/>
  <c r="I3" i="4"/>
  <c r="I5" i="4"/>
  <c r="I14" i="4"/>
  <c r="I7" i="4"/>
  <c r="F27" i="4"/>
  <c r="D27" i="4"/>
  <c r="G27" i="4"/>
  <c r="I11" i="4"/>
  <c r="I10" i="4"/>
  <c r="AD1639" i="4"/>
  <c r="AD1637" i="4"/>
  <c r="AD1636" i="4"/>
  <c r="AD1635" i="4"/>
  <c r="AD1634" i="4"/>
  <c r="AD1638" i="4"/>
  <c r="Z1557" i="4"/>
  <c r="Z1574" i="4"/>
  <c r="Z1564" i="4"/>
  <c r="Z1560" i="4"/>
  <c r="Z1563" i="4"/>
  <c r="Z1561" i="4"/>
  <c r="Z1569" i="4"/>
  <c r="Z1558" i="4"/>
  <c r="Z1556" i="4"/>
  <c r="Z1579" i="4"/>
  <c r="Z1580" i="4"/>
  <c r="Z1526" i="4"/>
  <c r="Z1525" i="4"/>
  <c r="Z1524" i="4"/>
  <c r="Z2223" i="4"/>
  <c r="Z2217" i="4"/>
  <c r="Z2222" i="4"/>
  <c r="Y1524" i="4"/>
  <c r="Y1525" i="4"/>
  <c r="Y1526" i="4"/>
  <c r="Z1527" i="4"/>
  <c r="Y1527" i="4"/>
  <c r="Y1523" i="4"/>
  <c r="Z1523" i="4"/>
  <c r="Z1522" i="4"/>
  <c r="I2" i="4" l="1"/>
  <c r="H27" i="4"/>
  <c r="I27" i="4" s="1"/>
  <c r="B3" i="4"/>
  <c r="C3" i="4"/>
  <c r="J3" i="4" s="1"/>
  <c r="B4" i="4"/>
  <c r="B5" i="4"/>
  <c r="B6" i="4"/>
  <c r="B7" i="4"/>
  <c r="B8" i="4"/>
  <c r="B9" i="4"/>
  <c r="C9" i="4"/>
  <c r="B10" i="4"/>
  <c r="C10" i="4"/>
  <c r="J10" i="4" s="1"/>
  <c r="B11" i="4"/>
  <c r="C11" i="4"/>
  <c r="J11" i="4" s="1"/>
  <c r="B12" i="4"/>
  <c r="B13" i="4"/>
  <c r="C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C2" i="4"/>
  <c r="B2" i="4"/>
  <c r="J2" i="4" l="1"/>
  <c r="O51" i="1" l="1"/>
  <c r="H38" i="6"/>
  <c r="C20" i="4"/>
  <c r="N56" i="2" l="1"/>
  <c r="N55" i="2"/>
  <c r="N53" i="2"/>
  <c r="N49" i="2"/>
  <c r="N48" i="2"/>
  <c r="N47" i="2"/>
  <c r="N46" i="2"/>
  <c r="L52" i="2"/>
  <c r="N52" i="2" s="1"/>
  <c r="L51" i="2"/>
  <c r="L50" i="2"/>
  <c r="M51" i="2"/>
  <c r="M50" i="2"/>
  <c r="J56" i="2"/>
  <c r="J55" i="2"/>
  <c r="J54" i="2"/>
  <c r="J53" i="2"/>
  <c r="J52" i="2"/>
  <c r="J51" i="2"/>
  <c r="J50" i="2"/>
  <c r="J49" i="2"/>
  <c r="J48" i="2"/>
  <c r="J47" i="2"/>
  <c r="AD9" i="1"/>
  <c r="L54" i="2"/>
  <c r="N54" i="2" s="1"/>
  <c r="L45" i="2"/>
  <c r="V9" i="1"/>
  <c r="I9" i="1"/>
  <c r="L9" i="1"/>
  <c r="K9" i="1"/>
  <c r="J9" i="1"/>
  <c r="G46" i="2"/>
  <c r="J46" i="2" s="1"/>
  <c r="S8" i="1"/>
  <c r="AZ8" i="1"/>
  <c r="AD8" i="1"/>
  <c r="L44" i="2"/>
  <c r="L43" i="2"/>
  <c r="L42" i="2"/>
  <c r="L41" i="2"/>
  <c r="L40" i="2"/>
  <c r="L39" i="2"/>
  <c r="L38" i="2"/>
  <c r="AN13" i="1"/>
  <c r="AN12" i="1"/>
  <c r="AN11" i="1"/>
  <c r="AN10" i="1"/>
  <c r="AN9" i="1"/>
  <c r="AN8" i="1"/>
  <c r="AN7" i="1"/>
  <c r="AN6" i="1"/>
  <c r="AN5" i="1"/>
  <c r="AN4" i="1"/>
  <c r="AN3" i="1"/>
  <c r="AN2" i="1"/>
  <c r="N50" i="2" l="1"/>
  <c r="N51" i="2"/>
  <c r="K56" i="2"/>
  <c r="BB9" i="1"/>
  <c r="BC9" i="1" s="1"/>
  <c r="BD9" i="1"/>
  <c r="BB8" i="1"/>
  <c r="BC8" i="1" s="1"/>
  <c r="K50" i="2"/>
  <c r="K54" i="2"/>
  <c r="K47" i="2"/>
  <c r="K52" i="2"/>
  <c r="K51" i="2"/>
  <c r="K55" i="2"/>
  <c r="K48" i="2"/>
  <c r="K49" i="2"/>
  <c r="K53" i="2"/>
  <c r="K46" i="2"/>
  <c r="F8" i="1"/>
  <c r="P39" i="1" s="1"/>
  <c r="AG9" i="1"/>
  <c r="AH9" i="1" s="1"/>
  <c r="AG13" i="1"/>
  <c r="AH13" i="1" s="1"/>
  <c r="AG12" i="1"/>
  <c r="AH12" i="1" s="1"/>
  <c r="AG11" i="1"/>
  <c r="AH11" i="1" s="1"/>
  <c r="AG10" i="1"/>
  <c r="AH10" i="1" s="1"/>
  <c r="AG8" i="1"/>
  <c r="AH8" i="1" s="1"/>
  <c r="AG7" i="1"/>
  <c r="AH7" i="1" s="1"/>
  <c r="AG6" i="1"/>
  <c r="AH6" i="1" s="1"/>
  <c r="AG5" i="1"/>
  <c r="AH5" i="1" s="1"/>
  <c r="AG4" i="1"/>
  <c r="AH4" i="1" s="1"/>
  <c r="AG3" i="1"/>
  <c r="AH3" i="1" s="1"/>
  <c r="AG2" i="1"/>
  <c r="AH2" i="1" s="1"/>
  <c r="BD8" i="1" l="1"/>
  <c r="BE8" i="1" s="1"/>
  <c r="BE9" i="1"/>
  <c r="AS3" i="1"/>
  <c r="AT3" i="1" s="1"/>
  <c r="AR3" i="1"/>
  <c r="AS8" i="1"/>
  <c r="AT8" i="1" s="1"/>
  <c r="AR8" i="1"/>
  <c r="AS2" i="1"/>
  <c r="AT2" i="1" s="1"/>
  <c r="AR2" i="1"/>
  <c r="AS9" i="1"/>
  <c r="AT9" i="1" s="1"/>
  <c r="AR9" i="1"/>
  <c r="AS10" i="1"/>
  <c r="AT10" i="1" s="1"/>
  <c r="AR10" i="1"/>
  <c r="AU9" i="1"/>
  <c r="AU8" i="1"/>
  <c r="AU3" i="1"/>
  <c r="AU2" i="1"/>
  <c r="Z7" i="1"/>
  <c r="L37" i="2"/>
  <c r="L36" i="2"/>
  <c r="L35" i="2"/>
  <c r="L34" i="2"/>
  <c r="BN7" i="1" l="1"/>
  <c r="AD7" i="1"/>
  <c r="BB7" i="1" s="1"/>
  <c r="BC7" i="1" s="1"/>
  <c r="AQ2" i="1"/>
  <c r="AQ8" i="1"/>
  <c r="AQ9" i="1"/>
  <c r="AV3" i="1"/>
  <c r="AY3" i="1" s="1"/>
  <c r="AV9" i="1"/>
  <c r="AV8" i="1"/>
  <c r="E12" i="1"/>
  <c r="E13" i="1"/>
  <c r="O50" i="1"/>
  <c r="AX9" i="1"/>
  <c r="AX8" i="1"/>
  <c r="AV2" i="1"/>
  <c r="E11" i="1"/>
  <c r="E7" i="1"/>
  <c r="AP10" i="1"/>
  <c r="AP9" i="1"/>
  <c r="AP8" i="1"/>
  <c r="AP7" i="1"/>
  <c r="AP6" i="1"/>
  <c r="AP5" i="1"/>
  <c r="AX3" i="1"/>
  <c r="BJ7" i="1" l="1"/>
  <c r="O48" i="1"/>
  <c r="BJ12" i="1"/>
  <c r="O49" i="1"/>
  <c r="BJ11" i="1"/>
  <c r="BJ13" i="1"/>
  <c r="F48" i="1"/>
  <c r="C85" i="1" s="1"/>
  <c r="E48" i="1"/>
  <c r="G48" i="1"/>
  <c r="D85" i="1" s="1"/>
  <c r="O42" i="1"/>
  <c r="H39" i="6"/>
  <c r="H33" i="6"/>
  <c r="O46" i="1"/>
  <c r="H35" i="6"/>
  <c r="O45" i="1"/>
  <c r="BD13" i="1"/>
  <c r="H36" i="6"/>
  <c r="O44" i="1"/>
  <c r="M12" i="1"/>
  <c r="W12" i="1"/>
  <c r="BD12" i="1"/>
  <c r="X12" i="1"/>
  <c r="O38" i="1"/>
  <c r="H42" i="6"/>
  <c r="C21" i="4"/>
  <c r="AZ13" i="1"/>
  <c r="W13" i="1"/>
  <c r="X13" i="1"/>
  <c r="C23" i="4"/>
  <c r="C17" i="4"/>
  <c r="C24" i="4"/>
  <c r="C18" i="4"/>
  <c r="C25" i="4"/>
  <c r="G7" i="1"/>
  <c r="C8" i="4"/>
  <c r="J8" i="4" s="1"/>
  <c r="AS7" i="1"/>
  <c r="AT7" i="1" s="1"/>
  <c r="AR7" i="1"/>
  <c r="C19" i="4"/>
  <c r="C22" i="4"/>
  <c r="C26" i="4"/>
  <c r="C16" i="4"/>
  <c r="C14" i="4"/>
  <c r="J14" i="4" s="1"/>
  <c r="AS12" i="1"/>
  <c r="AT12" i="1" s="1"/>
  <c r="AR12" i="1"/>
  <c r="C15" i="4"/>
  <c r="AS13" i="1"/>
  <c r="AT13" i="1" s="1"/>
  <c r="AR13" i="1"/>
  <c r="X11" i="1"/>
  <c r="Z11" i="1"/>
  <c r="W11" i="1"/>
  <c r="C12" i="4"/>
  <c r="AS11" i="1"/>
  <c r="AT11" i="1" s="1"/>
  <c r="AR11" i="1"/>
  <c r="AY8" i="1"/>
  <c r="AY9" i="1"/>
  <c r="AY2" i="1"/>
  <c r="AU7" i="1"/>
  <c r="F7" i="1"/>
  <c r="P38" i="1" s="1"/>
  <c r="AU12" i="1"/>
  <c r="AQ12" i="1" s="1"/>
  <c r="AU10" i="1"/>
  <c r="AU11" i="1"/>
  <c r="AU13" i="1"/>
  <c r="AX2" i="1"/>
  <c r="I7" i="1"/>
  <c r="K7" i="1"/>
  <c r="J7" i="1"/>
  <c r="BB6" i="1"/>
  <c r="V6" i="1"/>
  <c r="J33" i="2"/>
  <c r="P33" i="2" s="1"/>
  <c r="J32" i="2"/>
  <c r="P32" i="2" s="1"/>
  <c r="J31" i="2"/>
  <c r="P31" i="2" s="1"/>
  <c r="J30" i="2"/>
  <c r="P30" i="2" s="1"/>
  <c r="J29" i="2"/>
  <c r="P29" i="2" s="1"/>
  <c r="J28" i="2"/>
  <c r="P28" i="2" s="1"/>
  <c r="J27" i="2"/>
  <c r="P27" i="2" s="1"/>
  <c r="S6" i="1"/>
  <c r="D6" i="1"/>
  <c r="L33" i="2"/>
  <c r="N33" i="2" s="1"/>
  <c r="L32" i="2"/>
  <c r="N32" i="2" s="1"/>
  <c r="L31" i="2"/>
  <c r="N31" i="2" s="1"/>
  <c r="L30" i="2"/>
  <c r="N30" i="2" s="1"/>
  <c r="L29" i="2"/>
  <c r="N29" i="2" s="1"/>
  <c r="L28" i="2"/>
  <c r="N28" i="2" s="1"/>
  <c r="L27" i="2"/>
  <c r="N27" i="2" s="1"/>
  <c r="K30" i="2" l="1"/>
  <c r="Q30" i="2"/>
  <c r="S30" i="2" s="1"/>
  <c r="R30" i="2"/>
  <c r="T30" i="2" s="1"/>
  <c r="Q27" i="2"/>
  <c r="R27" i="2"/>
  <c r="R31" i="2"/>
  <c r="T31" i="2" s="1"/>
  <c r="Q31" i="2"/>
  <c r="S31" i="2" s="1"/>
  <c r="Q28" i="2"/>
  <c r="S28" i="2" s="1"/>
  <c r="R28" i="2"/>
  <c r="T28" i="2" s="1"/>
  <c r="Q32" i="2"/>
  <c r="S32" i="2" s="1"/>
  <c r="R32" i="2"/>
  <c r="T32" i="2" s="1"/>
  <c r="R29" i="2"/>
  <c r="T29" i="2" s="1"/>
  <c r="Q29" i="2"/>
  <c r="S29" i="2" s="1"/>
  <c r="R33" i="2"/>
  <c r="T33" i="2" s="1"/>
  <c r="Q33" i="2"/>
  <c r="S33" i="2" s="1"/>
  <c r="BE12" i="1"/>
  <c r="N37" i="1"/>
  <c r="L37" i="1" s="1"/>
  <c r="H85" i="1"/>
  <c r="B85" i="1"/>
  <c r="G85" i="1"/>
  <c r="BC6" i="1"/>
  <c r="BE13" i="1"/>
  <c r="Q46" i="1"/>
  <c r="I33" i="6"/>
  <c r="AO7" i="1"/>
  <c r="I42" i="6"/>
  <c r="Q38" i="1"/>
  <c r="BD7" i="1"/>
  <c r="AD11" i="1"/>
  <c r="BB11" i="1" s="1"/>
  <c r="BC11" i="1" s="1"/>
  <c r="AX7" i="1"/>
  <c r="AQ7" i="1"/>
  <c r="AQ13" i="1"/>
  <c r="AQ11" i="1"/>
  <c r="AX11" i="1"/>
  <c r="AQ10" i="1"/>
  <c r="M6" i="1"/>
  <c r="AV13" i="1"/>
  <c r="AX13" i="1"/>
  <c r="AV11" i="1"/>
  <c r="AV10" i="1"/>
  <c r="AX10" i="1"/>
  <c r="AX12" i="1"/>
  <c r="AV12" i="1"/>
  <c r="AV7" i="1"/>
  <c r="E6" i="1"/>
  <c r="K28" i="2"/>
  <c r="K32" i="2"/>
  <c r="K29" i="2"/>
  <c r="K33" i="2"/>
  <c r="K27" i="2"/>
  <c r="K31" i="2"/>
  <c r="D5" i="1"/>
  <c r="J26" i="2"/>
  <c r="L26" i="2"/>
  <c r="J25" i="2"/>
  <c r="L25" i="2"/>
  <c r="J24" i="2"/>
  <c r="L24" i="2"/>
  <c r="J23" i="2"/>
  <c r="L23" i="2"/>
  <c r="AZ3" i="1"/>
  <c r="AZ4" i="1"/>
  <c r="AD4" i="1"/>
  <c r="AD3" i="1"/>
  <c r="AP3" i="1" s="1"/>
  <c r="AD2" i="1"/>
  <c r="AP2" i="1" s="1"/>
  <c r="P35" i="1"/>
  <c r="J22" i="2"/>
  <c r="J21" i="2"/>
  <c r="U27" i="2" l="1"/>
  <c r="U31" i="2"/>
  <c r="U33" i="2"/>
  <c r="U30" i="2"/>
  <c r="U29" i="2"/>
  <c r="U32" i="2"/>
  <c r="U28" i="2"/>
  <c r="S27" i="2"/>
  <c r="V30" i="2"/>
  <c r="T27" i="2"/>
  <c r="V33" i="2"/>
  <c r="V29" i="2"/>
  <c r="V32" i="2"/>
  <c r="V28" i="2"/>
  <c r="V31" i="2"/>
  <c r="V27" i="2"/>
  <c r="BJ6" i="1"/>
  <c r="BE7" i="1"/>
  <c r="AP4" i="1"/>
  <c r="BN9" i="1"/>
  <c r="N36" i="1"/>
  <c r="M36" i="1" s="1"/>
  <c r="BC5" i="1"/>
  <c r="AP11" i="1"/>
  <c r="O35" i="1"/>
  <c r="H34" i="6"/>
  <c r="BD11" i="1"/>
  <c r="O37" i="1"/>
  <c r="H40" i="6"/>
  <c r="C7" i="4"/>
  <c r="J7" i="4" s="1"/>
  <c r="BD6" i="1"/>
  <c r="BB2" i="1"/>
  <c r="K23" i="2"/>
  <c r="K25" i="2"/>
  <c r="K24" i="2"/>
  <c r="K26" i="2"/>
  <c r="C5" i="4"/>
  <c r="J5" i="4" s="1"/>
  <c r="AS6" i="1"/>
  <c r="AT6" i="1" s="1"/>
  <c r="AR6" i="1"/>
  <c r="AY7" i="1"/>
  <c r="AY10" i="1"/>
  <c r="AY12" i="1"/>
  <c r="AY11" i="1"/>
  <c r="AY13" i="1"/>
  <c r="AU6" i="1"/>
  <c r="X6" i="1"/>
  <c r="W6" i="1"/>
  <c r="G5" i="1"/>
  <c r="E5" i="1"/>
  <c r="BB4" i="1"/>
  <c r="F4" i="1"/>
  <c r="P34" i="1" s="1"/>
  <c r="E4" i="1"/>
  <c r="V4" i="1"/>
  <c r="K4" i="1"/>
  <c r="M4" i="1" s="1"/>
  <c r="H20" i="2"/>
  <c r="J20" i="2" s="1"/>
  <c r="L20" i="2"/>
  <c r="N20" i="2" s="1"/>
  <c r="L22" i="2"/>
  <c r="N22" i="2" s="1"/>
  <c r="L21" i="2"/>
  <c r="N21" i="2" s="1"/>
  <c r="K21" i="2" l="1"/>
  <c r="K22" i="2"/>
  <c r="K20" i="2"/>
  <c r="BJ5" i="1"/>
  <c r="BJ4" i="1"/>
  <c r="BE6" i="1"/>
  <c r="BE11" i="1"/>
  <c r="BC4" i="1"/>
  <c r="I34" i="6"/>
  <c r="Q35" i="1"/>
  <c r="O34" i="1"/>
  <c r="M34" i="1" s="1"/>
  <c r="H41" i="6"/>
  <c r="H37" i="6"/>
  <c r="O36" i="1"/>
  <c r="AO5" i="1"/>
  <c r="Q36" i="1"/>
  <c r="I37" i="6"/>
  <c r="C6" i="4"/>
  <c r="J6" i="4" s="1"/>
  <c r="BD5" i="1"/>
  <c r="G4" i="1"/>
  <c r="BD4" i="1" s="1"/>
  <c r="C4" i="4"/>
  <c r="AS4" i="1"/>
  <c r="AT4" i="1" s="1"/>
  <c r="AR4" i="1"/>
  <c r="AQ6" i="1"/>
  <c r="AS5" i="1"/>
  <c r="AT5" i="1" s="1"/>
  <c r="AR5" i="1"/>
  <c r="AU5" i="1"/>
  <c r="AV6" i="1"/>
  <c r="AU4" i="1"/>
  <c r="AX6" i="1"/>
  <c r="X4" i="1"/>
  <c r="W4" i="1"/>
  <c r="BB3" i="1"/>
  <c r="L3" i="1"/>
  <c r="S3" i="1"/>
  <c r="L19" i="2"/>
  <c r="N19" i="2" s="1"/>
  <c r="L18" i="2"/>
  <c r="N18" i="2" s="1"/>
  <c r="L12" i="2"/>
  <c r="N12" i="2" s="1"/>
  <c r="G11" i="2"/>
  <c r="L11" i="2" s="1"/>
  <c r="N11" i="2" s="1"/>
  <c r="L17" i="2"/>
  <c r="N17" i="2" s="1"/>
  <c r="L10" i="2"/>
  <c r="N10" i="2" s="1"/>
  <c r="L9" i="2"/>
  <c r="N9" i="2" s="1"/>
  <c r="F3" i="1"/>
  <c r="H19" i="2"/>
  <c r="J19" i="2" s="1"/>
  <c r="H18" i="2"/>
  <c r="H16" i="2"/>
  <c r="J16" i="2" s="1"/>
  <c r="H15" i="2"/>
  <c r="H14" i="2"/>
  <c r="H13" i="2"/>
  <c r="H12" i="2"/>
  <c r="J12" i="2" s="1"/>
  <c r="H11" i="2"/>
  <c r="J11" i="2" s="1"/>
  <c r="H10" i="2"/>
  <c r="H9" i="2"/>
  <c r="J9" i="2" s="1"/>
  <c r="J18" i="2"/>
  <c r="J17" i="2"/>
  <c r="J10" i="2"/>
  <c r="G16" i="2"/>
  <c r="L16" i="2" s="1"/>
  <c r="N16" i="2" s="1"/>
  <c r="G15" i="2"/>
  <c r="L15" i="2" s="1"/>
  <c r="N15" i="2" s="1"/>
  <c r="G14" i="2"/>
  <c r="L14" i="2" s="1"/>
  <c r="N14" i="2" s="1"/>
  <c r="G13" i="2"/>
  <c r="L13" i="2" s="1"/>
  <c r="N13" i="2" s="1"/>
  <c r="G12" i="2"/>
  <c r="N8" i="2"/>
  <c r="R8" i="2" s="1"/>
  <c r="T8" i="2" s="1"/>
  <c r="N7" i="2"/>
  <c r="Q7" i="2" s="1"/>
  <c r="N6" i="2"/>
  <c r="R6" i="2" s="1"/>
  <c r="N5" i="2"/>
  <c r="R5" i="2" s="1"/>
  <c r="N4" i="2"/>
  <c r="R4" i="2" s="1"/>
  <c r="N3" i="2"/>
  <c r="R3" i="2" s="1"/>
  <c r="N2" i="2"/>
  <c r="Q2" i="2" s="1"/>
  <c r="J8" i="2"/>
  <c r="P8" i="2" s="1"/>
  <c r="J7" i="2"/>
  <c r="P7" i="2" s="1"/>
  <c r="J6" i="2"/>
  <c r="P6" i="2" s="1"/>
  <c r="J4" i="2"/>
  <c r="P4" i="2" s="1"/>
  <c r="J3" i="2"/>
  <c r="J2" i="2"/>
  <c r="J5" i="2"/>
  <c r="P5" i="2" s="1"/>
  <c r="Q4" i="2" l="1"/>
  <c r="T3" i="2"/>
  <c r="S7" i="2"/>
  <c r="T6" i="2"/>
  <c r="Q8" i="2"/>
  <c r="S8" i="2" s="1"/>
  <c r="Q3" i="2"/>
  <c r="S3" i="2" s="1"/>
  <c r="S4" i="2"/>
  <c r="K2" i="2"/>
  <c r="T4" i="2"/>
  <c r="R2" i="2"/>
  <c r="K3" i="2"/>
  <c r="T5" i="2"/>
  <c r="J14" i="2"/>
  <c r="J15" i="2"/>
  <c r="K19" i="2" s="1"/>
  <c r="S2" i="2"/>
  <c r="P3" i="2"/>
  <c r="Q5" i="2"/>
  <c r="S5" i="2" s="1"/>
  <c r="K6" i="2"/>
  <c r="Q6" i="2"/>
  <c r="S6" i="2" s="1"/>
  <c r="R7" i="2"/>
  <c r="T7" i="2" s="1"/>
  <c r="J13" i="2"/>
  <c r="V3" i="1"/>
  <c r="AQ3" i="1" s="1"/>
  <c r="K7" i="2"/>
  <c r="K4" i="2"/>
  <c r="P2" i="2"/>
  <c r="K8" i="2"/>
  <c r="K5" i="2"/>
  <c r="D3" i="1"/>
  <c r="G3" i="1" s="1"/>
  <c r="Q33" i="1" s="1"/>
  <c r="P33" i="1"/>
  <c r="AO4" i="1"/>
  <c r="Q34" i="1"/>
  <c r="I41" i="6"/>
  <c r="J4" i="4"/>
  <c r="C27" i="4"/>
  <c r="J27" i="4" s="1"/>
  <c r="AQ4" i="1"/>
  <c r="AY6" i="1"/>
  <c r="AQ5" i="1"/>
  <c r="AV5" i="1"/>
  <c r="AX5" i="1"/>
  <c r="AV4" i="1"/>
  <c r="AX4" i="1"/>
  <c r="K14" i="2"/>
  <c r="K13" i="2"/>
  <c r="K9" i="2"/>
  <c r="M2" i="1"/>
  <c r="X2" i="1"/>
  <c r="W2" i="1"/>
  <c r="S2" i="1"/>
  <c r="BD2" i="1" s="1"/>
  <c r="D2" i="1"/>
  <c r="M3" i="1" l="1"/>
  <c r="V3" i="2"/>
  <c r="V8" i="2"/>
  <c r="K16" i="2"/>
  <c r="K18" i="2"/>
  <c r="K12" i="2"/>
  <c r="K17" i="2"/>
  <c r="K11" i="2"/>
  <c r="W3" i="1"/>
  <c r="V7" i="2"/>
  <c r="K10" i="2"/>
  <c r="K15" i="2"/>
  <c r="T2" i="2"/>
  <c r="V4" i="2"/>
  <c r="V2" i="2"/>
  <c r="U2" i="2"/>
  <c r="U4" i="2"/>
  <c r="U6" i="2"/>
  <c r="V5" i="2"/>
  <c r="V6" i="2"/>
  <c r="U8" i="2"/>
  <c r="U3" i="2"/>
  <c r="X3" i="1"/>
  <c r="U5" i="2"/>
  <c r="U7" i="2"/>
  <c r="N32" i="1"/>
  <c r="N33" i="1"/>
  <c r="BN6" i="1"/>
  <c r="BC3" i="1"/>
  <c r="BE2" i="1"/>
  <c r="AO3" i="1"/>
  <c r="I32" i="6"/>
  <c r="BD3" i="1"/>
  <c r="BE4" i="1"/>
  <c r="BC2" i="1"/>
  <c r="AY5" i="1"/>
  <c r="AY4" i="1"/>
  <c r="BE3" i="1" l="1"/>
  <c r="E14" i="1"/>
  <c r="BD14" i="1"/>
  <c r="BE14" i="1" l="1"/>
</calcChain>
</file>

<file path=xl/comments1.xml><?xml version="1.0" encoding="utf-8"?>
<comments xmlns="http://schemas.openxmlformats.org/spreadsheetml/2006/main">
  <authors>
    <author>Author</author>
  </authors>
  <commentList>
    <comment ref="H9" authorId="0" shapeId="0">
      <text>
        <r>
          <rPr>
            <b/>
            <sz val="9"/>
            <color indexed="81"/>
            <rFont val="Tahoma"/>
          </rPr>
          <t>Author:</t>
        </r>
        <r>
          <rPr>
            <sz val="9"/>
            <color indexed="81"/>
            <rFont val="Tahoma"/>
          </rPr>
          <t xml:space="preserve">
שנה א' מתייחסת לשנת 2015</t>
        </r>
      </text>
    </comment>
    <comment ref="F10" authorId="0" shapeId="0">
      <text>
        <r>
          <rPr>
            <b/>
            <sz val="9"/>
            <color indexed="81"/>
            <rFont val="Tahoma"/>
          </rPr>
          <t>Author:</t>
        </r>
        <r>
          <rPr>
            <sz val="9"/>
            <color indexed="81"/>
            <rFont val="Tahoma"/>
          </rPr>
          <t xml:space="preserve">
מתחם שוק יום ד' - תוספת שמופיעה בגאנט</t>
        </r>
      </text>
    </comment>
    <comment ref="K10" authorId="0" shapeId="0">
      <text>
        <r>
          <rPr>
            <b/>
            <sz val="9"/>
            <color indexed="81"/>
            <rFont val="Tahoma"/>
          </rPr>
          <t>Author:</t>
        </r>
        <r>
          <rPr>
            <sz val="9"/>
            <color indexed="81"/>
            <rFont val="Tahoma"/>
          </rPr>
          <t xml:space="preserve">
על פי הגאנט, ישווקו במתחם שוק יום ג' 2700 יח"ד ולא 1300 כפי שרשום בתוכנית</t>
        </r>
      </text>
    </comment>
    <comment ref="I45" authorId="0" shapeId="0">
      <text>
        <r>
          <rPr>
            <b/>
            <sz val="9"/>
            <color indexed="81"/>
            <rFont val="Tahoma"/>
          </rPr>
          <t>Author:</t>
        </r>
        <r>
          <rPr>
            <sz val="9"/>
            <color indexed="81"/>
            <rFont val="Tahoma"/>
          </rPr>
          <t xml:space="preserve">
כולל 1339 יח"ד שנספרו על שנת 2016</t>
        </r>
      </text>
    </comment>
    <comment ref="I51" authorId="0" shapeId="0">
      <text>
        <r>
          <rPr>
            <b/>
            <sz val="9"/>
            <color indexed="81"/>
            <rFont val="Tahoma"/>
          </rPr>
          <t>Author:</t>
        </r>
        <r>
          <rPr>
            <sz val="9"/>
            <color indexed="81"/>
            <rFont val="Tahoma"/>
          </rPr>
          <t xml:space="preserve">
על פי הגאנט, ישווקו במתחם שוק יום ג' 2700 יח"ד ולא 1300 כפי שרשום בתוכנית</t>
        </r>
      </text>
    </comment>
  </commentList>
</comments>
</file>

<file path=xl/sharedStrings.xml><?xml version="1.0" encoding="utf-8"?>
<sst xmlns="http://schemas.openxmlformats.org/spreadsheetml/2006/main" count="18178" uniqueCount="1083">
  <si>
    <t>שם הרשות</t>
  </si>
  <si>
    <t>סה"כ יחידות דיור</t>
  </si>
  <si>
    <t>יח' דיור שלב א'</t>
  </si>
  <si>
    <t>מס' יחידות דיור לשנה (ממוצע)</t>
  </si>
  <si>
    <t>שנת כניסת ההסכם לתוקף</t>
  </si>
  <si>
    <t>מס' יחידות דיור בשנה א'</t>
  </si>
  <si>
    <t>מס' יחידות דיור בשנה ב'</t>
  </si>
  <si>
    <t>מס' יחידות דיור בשנה ג'</t>
  </si>
  <si>
    <t>מס' יחידות דיור בשנה ד'</t>
  </si>
  <si>
    <t>מס' יחידות דיור בשנה ה' ומעלה</t>
  </si>
  <si>
    <t>אשקלון</t>
  </si>
  <si>
    <t>באר שבע</t>
  </si>
  <si>
    <t>קריית ביאליק</t>
  </si>
  <si>
    <t>הרצליה</t>
  </si>
  <si>
    <t>עפולה</t>
  </si>
  <si>
    <t>קריית גת</t>
  </si>
  <si>
    <t>ראש העין</t>
  </si>
  <si>
    <t>ראשון לציון</t>
  </si>
  <si>
    <t>רמלה</t>
  </si>
  <si>
    <t>נתניה</t>
  </si>
  <si>
    <t>יח' דיור שלב ב' ומעלה</t>
  </si>
  <si>
    <t>יחס יח"ד קטנות</t>
  </si>
  <si>
    <t>סה"כ יחידות במחיר למשתכן</t>
  </si>
  <si>
    <t>סה"כ יחידות להשכרה</t>
  </si>
  <si>
    <t>השתתפות שנתית בהוצאות מנהלת</t>
  </si>
  <si>
    <t>מגבלת השתתפות (יח"ד)</t>
  </si>
  <si>
    <t>השתתפות בהתחדשות בינוי קיים (ש"ח ליח"ד בהסכם)</t>
  </si>
  <si>
    <t>מרכיב התחדשות עירונית</t>
  </si>
  <si>
    <t>שטחי מסחר ותעסוקה</t>
  </si>
  <si>
    <t>יחס תעסוקה ליח"ד</t>
  </si>
  <si>
    <t>יחס תעסוקה למגורים</t>
  </si>
  <si>
    <t>הכנסות העירייה על כל 10 מש"ח מעלויות הפיתוח בפרויקט</t>
  </si>
  <si>
    <t>1.3-1.9 מש"ח</t>
  </si>
  <si>
    <t>תוספת עלויות שנתית לעירייה</t>
  </si>
  <si>
    <t>מודיעין-מכבים-רעות</t>
  </si>
  <si>
    <t>בית שמש</t>
  </si>
  <si>
    <t>אור יהודה</t>
  </si>
  <si>
    <t>אילת</t>
  </si>
  <si>
    <t>טמרה</t>
  </si>
  <si>
    <t>שם התוכנית</t>
  </si>
  <si>
    <t>מספר התוכנית</t>
  </si>
  <si>
    <t>מועד הסטטוס</t>
  </si>
  <si>
    <t>מספר יח"ד</t>
  </si>
  <si>
    <t>שטח מסחר/תעסוקה</t>
  </si>
  <si>
    <t>חלק מהתוכנית מכלל העיר</t>
  </si>
  <si>
    <t>סך עלות תשתיות על עירוניות (אש"ח)</t>
  </si>
  <si>
    <t>סך עלות תשתיות על - אש"ח</t>
  </si>
  <si>
    <t>סה"כ תשתיות</t>
  </si>
  <si>
    <t>מ-8 הבלוט</t>
  </si>
  <si>
    <t>תוכנית מזרחית לבלוט</t>
  </si>
  <si>
    <t>מ-7א, מ-7ב עיר היין</t>
  </si>
  <si>
    <t>מתחם המתנחלים</t>
  </si>
  <si>
    <t>אגמים מזרח</t>
  </si>
  <si>
    <t>היי טק</t>
  </si>
  <si>
    <t>חישתיל - מזרחית לגן הלאומי</t>
  </si>
  <si>
    <t>192/3/4</t>
  </si>
  <si>
    <t>תמל/1006</t>
  </si>
  <si>
    <t>604-0168252</t>
  </si>
  <si>
    <t>בהכנה</t>
  </si>
  <si>
    <t>165/101/02/4</t>
  </si>
  <si>
    <t>מילוי תנאים להפקדה</t>
  </si>
  <si>
    <t>מאושרת</t>
  </si>
  <si>
    <t>2.9.16</t>
  </si>
  <si>
    <t>יח"ד אקוויולנטי של המסחר/תעסוקה (1 יח"ד = 200 מ"ר עיקרי+שירות עילי, מלונאות - 1 יח"ד  = 3 מעונות)</t>
  </si>
  <si>
    <t>מלונאות</t>
  </si>
  <si>
    <t>העמסה ליח"ד (בש"ח)</t>
  </si>
  <si>
    <t>עלויות העמסה (באש"ח)</t>
  </si>
  <si>
    <t>תקורה גלובאליים (מקסימום)</t>
  </si>
  <si>
    <t>תקורה גלובאליים (מינימום)</t>
  </si>
  <si>
    <t>תקורה גלובאליים ליח"ד (מקסימום)</t>
  </si>
  <si>
    <t>תקורה גלובאליים ליח"ד (מינימום)</t>
  </si>
  <si>
    <t>נווה מנחם שלב ב'</t>
  </si>
  <si>
    <t>נווה מנחם שלב א</t>
  </si>
  <si>
    <t>מבואה מערבית</t>
  </si>
  <si>
    <t>קריית גנים (מתחם האצטדיון)</t>
  </si>
  <si>
    <t>פלח 5 נווה זאב</t>
  </si>
  <si>
    <t>רמות אצבעות א'</t>
  </si>
  <si>
    <t>רמות אצבעות ב'</t>
  </si>
  <si>
    <t>רמות אצבעות ג'</t>
  </si>
  <si>
    <t>פרוייקט רגר</t>
  </si>
  <si>
    <t>מבואה צפונית - מרת"ח</t>
  </si>
  <si>
    <t>שכונת פארק</t>
  </si>
  <si>
    <t>222/03/200/5</t>
  </si>
  <si>
    <t>223/03/200/5</t>
  </si>
  <si>
    <t>129/122/02/5</t>
  </si>
  <si>
    <t>114/102/02/5</t>
  </si>
  <si>
    <t>98/102/02/5</t>
  </si>
  <si>
    <t>122/102/02/5</t>
  </si>
  <si>
    <t>148/102/02/5</t>
  </si>
  <si>
    <t>128/102/02/5</t>
  </si>
  <si>
    <t>תוכנית בתוקף בייעוד מסחר, יתאפשר שינוי תב"ע ע"י היזם</t>
  </si>
  <si>
    <t>לקראת דיון בועדה המקומית</t>
  </si>
  <si>
    <t>605-0296064</t>
  </si>
  <si>
    <t>605-0225284</t>
  </si>
  <si>
    <t>דמי ניהול ממוצעים לעירייה</t>
  </si>
  <si>
    <t>ישן מול חדש</t>
  </si>
  <si>
    <t>השתתפויות נוספות</t>
  </si>
  <si>
    <t>סעיפי השתתפויות נוספות</t>
  </si>
  <si>
    <t>סה"כ שווי לעירייה</t>
  </si>
  <si>
    <t>1.10.15</t>
  </si>
  <si>
    <t>אפק</t>
  </si>
  <si>
    <t>כפר ביאליק דרום</t>
  </si>
  <si>
    <t>הרחבת גבעת הרקפות</t>
  </si>
  <si>
    <t>ק/425</t>
  </si>
  <si>
    <t>הכנסות כנגד תמיכה בעבודות צד ג'</t>
  </si>
  <si>
    <t>אפולוניה</t>
  </si>
  <si>
    <t>עבודות צד ג'</t>
  </si>
  <si>
    <t>עבודות באחריות העירייה</t>
  </si>
  <si>
    <t>שדרות רגר + השתתפויות נוספות</t>
  </si>
  <si>
    <t>השתתפות במוסדות חינוך ואחרים</t>
  </si>
  <si>
    <t>מודיעין</t>
  </si>
  <si>
    <t>נופים N</t>
  </si>
  <si>
    <t>מע"ר + אמת המים</t>
  </si>
  <si>
    <t>מד/1/9</t>
  </si>
  <si>
    <t>420-0138651</t>
  </si>
  <si>
    <t>מד/10</t>
  </si>
  <si>
    <t>בתוקף</t>
  </si>
  <si>
    <t>בתוקף ברבעון 4 2014</t>
  </si>
  <si>
    <t>בתוקף ברבעון 2 2015</t>
  </si>
  <si>
    <t>בתוקף ברבעון 1 2016</t>
  </si>
  <si>
    <t>22.1.14</t>
  </si>
  <si>
    <t>שכונת מורשת P</t>
  </si>
  <si>
    <t>שכונת גבעת שר L</t>
  </si>
  <si>
    <t>מול העמק</t>
  </si>
  <si>
    <t>ביה"ס חקלאי ניר העמק ואזור תעשייה מרחביה</t>
  </si>
  <si>
    <t>כפר הילדים</t>
  </si>
  <si>
    <t>מתחם המשטרה</t>
  </si>
  <si>
    <t>יתרת C1</t>
  </si>
  <si>
    <t>מתחם התחנה</t>
  </si>
  <si>
    <t>B1, B2</t>
  </si>
  <si>
    <t>ג/17000
תמל/1021</t>
  </si>
  <si>
    <t>215-0426858</t>
  </si>
  <si>
    <t>בתוקף בהפקדה</t>
  </si>
  <si>
    <t>מפורטת בהכנה</t>
  </si>
  <si>
    <t>עפ/מק/2/20010</t>
  </si>
  <si>
    <t>תת"ל 13/6/2 (מוגדר כאזור לשימור)</t>
  </si>
  <si>
    <t>עפ/מק/6/12567 (טרם התקבל מס' תוכנית חדשה</t>
  </si>
  <si>
    <t>8.9.16</t>
  </si>
  <si>
    <t>גרעון כולל ליח"ד</t>
  </si>
  <si>
    <t>גרעון ליח"ד בהכנסות עצמיות</t>
  </si>
  <si>
    <t>גרעון ליח"ד בהוצאה עירונית</t>
  </si>
  <si>
    <t>הכנסה ממוצעת למ"ר תעסוקה</t>
  </si>
  <si>
    <t>הכנסות שנתיות לעירייה (לפי 10 שנים)</t>
  </si>
  <si>
    <t>היקף  התעסוקה הנוכחי בעיר (עסקים, מלאכה ותעשייה, מלונאות ובנקים)</t>
  </si>
  <si>
    <t>היקף הגידול בתעסוקה</t>
  </si>
  <si>
    <t>עכו</t>
  </si>
  <si>
    <t>טירת הכרמל</t>
  </si>
  <si>
    <t>יבנה</t>
  </si>
  <si>
    <t>אופקים</t>
  </si>
  <si>
    <t>חיפה</t>
  </si>
  <si>
    <t>נתיבות</t>
  </si>
  <si>
    <t>באר יעקב</t>
  </si>
  <si>
    <t>קריית אתא</t>
  </si>
  <si>
    <t>רמת השרון</t>
  </si>
  <si>
    <t>מתחם 07</t>
  </si>
  <si>
    <t>מתחם 02</t>
  </si>
  <si>
    <t>מתחם 03,04</t>
  </si>
  <si>
    <t>מתחם 01</t>
  </si>
  <si>
    <t>2/140/02/9</t>
  </si>
  <si>
    <t>4/140/03/9</t>
  </si>
  <si>
    <t>3/140/03/9</t>
  </si>
  <si>
    <t>1/140/02/9</t>
  </si>
  <si>
    <t>26.11.13</t>
  </si>
  <si>
    <t>שווי ליח"ד</t>
  </si>
  <si>
    <t>זמן למימוש הבינוי לפי קצב של 1,500 יח"ד בשנה</t>
  </si>
  <si>
    <t>הכנסה צפויה מארנונה ליח"ד בפרויקטים</t>
  </si>
  <si>
    <t>שטח יח"ד בישוב</t>
  </si>
  <si>
    <t>שטח ממוצע ליח"ד בפרויקטים (מותאם לשיטת החישוב)</t>
  </si>
  <si>
    <t>שטח ליח"ד (נטו)</t>
  </si>
  <si>
    <t>קצב בינוי השנתי לתעסוקה הנדרש לאיזון התוכנית לשלב א' לפי קצב בינוי של 1500 יח"ד בשנה</t>
  </si>
  <si>
    <t>משקל ההכנסות שאינן מארנונה בעצמיות</t>
  </si>
  <si>
    <t>מספר תושבים בסוף 2015 (למ"ס)</t>
  </si>
  <si>
    <t>הכנסה עצמית שאינה מארנונה ליח"ד</t>
  </si>
  <si>
    <t>היקף הגידול השנתי ביחס לקיים</t>
  </si>
  <si>
    <t>מתחם A</t>
  </si>
  <si>
    <t>מתחם B</t>
  </si>
  <si>
    <t>מתחם C</t>
  </si>
  <si>
    <t>מתחם D</t>
  </si>
  <si>
    <t>מתחם E</t>
  </si>
  <si>
    <t>מתחם F</t>
  </si>
  <si>
    <t>רנ/265/א'
רנ/265/ב'</t>
  </si>
  <si>
    <t>רנ/50 א</t>
  </si>
  <si>
    <t>רנ/250 א</t>
  </si>
  <si>
    <t>רנ/275 א</t>
  </si>
  <si>
    <t>רנ/300 א</t>
  </si>
  <si>
    <t>רנ/280 א</t>
  </si>
  <si>
    <t>רנ/9/א+ב</t>
  </si>
  <si>
    <t>חורשים</t>
  </si>
  <si>
    <t>מחצית מיחידות הדיור הן לבני המקום, הסטת מסלולי הנחיתה של נתב"ג, הסטת קווי מתח גבוה (בהתאם להכנסות), 10 מיליון לשיפוץ רחוב שבזי, 37.5 לטובת כביש הגישה לאזור התעשייה</t>
  </si>
  <si>
    <t>נחלת מערב</t>
  </si>
  <si>
    <t>ראשון מזרח</t>
  </si>
  <si>
    <t>צריפין מתחם 5</t>
  </si>
  <si>
    <t>צריפין מתחם 6</t>
  </si>
  <si>
    <t>נחלת צפון א'</t>
  </si>
  <si>
    <t>נחלת צפון ב'</t>
  </si>
  <si>
    <t>נחלת עילית</t>
  </si>
  <si>
    <t>פארק באגם</t>
  </si>
  <si>
    <t>חלום ראשון</t>
  </si>
  <si>
    <t>נחלת קיבוץ</t>
  </si>
  <si>
    <t>רצ/1/159/1</t>
  </si>
  <si>
    <t>413-0180570</t>
  </si>
  <si>
    <t>413-0163493</t>
  </si>
  <si>
    <t>רצועה צפונית</t>
  </si>
  <si>
    <t>רצועה דרומית</t>
  </si>
  <si>
    <t>רצ/8/21/1</t>
  </si>
  <si>
    <t>רצ/19/22/1</t>
  </si>
  <si>
    <t>בין ראשון מזרח למתחם 4</t>
  </si>
  <si>
    <t>24.11.14</t>
  </si>
  <si>
    <t>החלטה להפקדה, צפי לתוקף Q1 2015</t>
  </si>
  <si>
    <t>בקליטה במחוזית, צפי לתוקף Q4 2015</t>
  </si>
  <si>
    <t>בקליטה במחוזית, צפי לתוקף Q1 2016</t>
  </si>
  <si>
    <t>בהכנה, צפי לתוקף Q4 2016</t>
  </si>
  <si>
    <t>בהכנה, צפי לתוקף Q1 2017</t>
  </si>
  <si>
    <t>בהכנה, צפי לתוקף Q2 2017</t>
  </si>
  <si>
    <t>בהפקדה, צפי לתוקף Q2 2015</t>
  </si>
  <si>
    <t>בהכנה, צפי לתוקף Q3 2016</t>
  </si>
  <si>
    <t>לפני תוקף, צפי לתוקף Q4 2014</t>
  </si>
  <si>
    <t>חצבים</t>
  </si>
  <si>
    <t>אישור מתחם 1000 מהווה תנאי לקצב השיווק</t>
  </si>
  <si>
    <t>סה"כ יח"ד באמצע 2016 (מרשם הדירות, נתוני למ"ס)</t>
  </si>
  <si>
    <t>ההפרש בהכנסה ליח"ד לפני ואחרי הבינוי (כמה פחות אפשר להשקיע ליח"ד לאחר תוספת הבינוי) - ללא התחשבות בהכנסות עצמית שאינן מארנונה</t>
  </si>
  <si>
    <t>ההפרש בהכנסה ליח"ד לפני ואחרי הבינוי (כמה פחות אפשר להשקיע ליח"ד לאחר תוספת הבינוי) - כולל התחשבות בהכנסות עצמיות שאינן מארנונה</t>
  </si>
  <si>
    <t>הכנסה מארנונה למגורים ליח"ד</t>
  </si>
  <si>
    <t>נובמבר 2013</t>
  </si>
  <si>
    <t>ינואר 2014</t>
  </si>
  <si>
    <t>פברואר 2014</t>
  </si>
  <si>
    <t>נובמבר 2014</t>
  </si>
  <si>
    <t>יולי 2015</t>
  </si>
  <si>
    <t>אוקטובר 2015</t>
  </si>
  <si>
    <t>אוקטובר 2015 (תקף ליח"ד ששווקו ב-2014)</t>
  </si>
  <si>
    <t>ינואר 2016</t>
  </si>
  <si>
    <t>אפריל 2016</t>
  </si>
  <si>
    <t>אוגוסט 2016</t>
  </si>
  <si>
    <t>ספטמבר 2016 (תקף ליחידות ששווקו ב-2015)</t>
  </si>
  <si>
    <t>היקף התעסוקה הכולל לאיזון התוכנית שלב א' (מ"ר)</t>
  </si>
  <si>
    <t>מעלות תרשיחא</t>
  </si>
  <si>
    <t>מועד חתימה ההסכם</t>
  </si>
  <si>
    <t>מס' יחידות בהסכם</t>
  </si>
  <si>
    <t>הוצאות פיתוח</t>
  </si>
  <si>
    <t>יעוד</t>
  </si>
  <si>
    <t>סוג מכרז</t>
  </si>
  <si>
    <t>ישוב, שכונה</t>
  </si>
  <si>
    <t>תאריך החלטה</t>
  </si>
  <si>
    <t>מס' מכרז</t>
  </si>
  <si>
    <t>בניה נמוכה/צמודת קרקע/בנה ביתך</t>
  </si>
  <si>
    <t>  </t>
  </si>
  <si>
    <t>אשקלון, הרצוג</t>
  </si>
  <si>
    <t>ים/273/2016</t>
  </si>
  <si>
    <t>בניה רוויה</t>
  </si>
  <si>
    <t>אשקלון, הבלוט</t>
  </si>
  <si>
    <t>ים/336/2015</t>
  </si>
  <si>
    <t>מחיר למשתכן</t>
  </si>
  <si>
    <t>אשקלון, אינפילים</t>
  </si>
  <si>
    <t>ים/313/2015</t>
  </si>
  <si>
    <t>א</t>
  </si>
  <si>
    <t>ים/337/2015</t>
  </si>
  <si>
    <t>ב</t>
  </si>
  <si>
    <t>ג</t>
  </si>
  <si>
    <t>ד</t>
  </si>
  <si>
    <t>ה</t>
  </si>
  <si>
    <t>ו</t>
  </si>
  <si>
    <t>ז</t>
  </si>
  <si>
    <t>ח</t>
  </si>
  <si>
    <t>אשקלון, כוכב הצפון - מגדל</t>
  </si>
  <si>
    <t>ים/314/2015</t>
  </si>
  <si>
    <t>ים/233/2015</t>
  </si>
  <si>
    <t>ים/49/2015</t>
  </si>
  <si>
    <t>אשקלון, אגמים</t>
  </si>
  <si>
    <t>ים/341/2014</t>
  </si>
  <si>
    <t>ים/320/2014</t>
  </si>
  <si>
    <t>ים/200/2014</t>
  </si>
  <si>
    <t>ים/305/2013</t>
  </si>
  <si>
    <t>ים/310/2013</t>
  </si>
  <si>
    <t>ים/319/2013</t>
  </si>
  <si>
    <t>באר שבע, מבואה מערבית</t>
  </si>
  <si>
    <t>בש/323/2016</t>
  </si>
  <si>
    <t>בש/274/2016</t>
  </si>
  <si>
    <t>בש/191/2016</t>
  </si>
  <si>
    <t>בש/253/2015</t>
  </si>
  <si>
    <t>באר שבע, כלניות</t>
  </si>
  <si>
    <t>בש/256/2015</t>
  </si>
  <si>
    <t>באר שבע, רמות</t>
  </si>
  <si>
    <t>בש/237/2015</t>
  </si>
  <si>
    <t>באר שבע, נווה מנחם ב'</t>
  </si>
  <si>
    <t>בש/319/2015</t>
  </si>
  <si>
    <t>תעשיה</t>
  </si>
  <si>
    <t>באר שבע, עמק שרה</t>
  </si>
  <si>
    <t>בש/4/2016</t>
  </si>
  <si>
    <t>בש/255/2015</t>
  </si>
  <si>
    <t>באר שבע, נווה נוי</t>
  </si>
  <si>
    <t>בש/46/2015</t>
  </si>
  <si>
    <t>בש/407/2014</t>
  </si>
  <si>
    <t>באר שבע, נווה מנחם ב</t>
  </si>
  <si>
    <t>בש/77/2015</t>
  </si>
  <si>
    <t>מסחר ו/או משרדים</t>
  </si>
  <si>
    <t>באר שבע, ו'</t>
  </si>
  <si>
    <t>בש/50/2015</t>
  </si>
  <si>
    <t>בש/334/2014</t>
  </si>
  <si>
    <t>בש/268/2014</t>
  </si>
  <si>
    <t>באר שבע, שכ' נווה נוי</t>
  </si>
  <si>
    <t>בש/264/2014</t>
  </si>
  <si>
    <t>בש/238/2014</t>
  </si>
  <si>
    <t>באר שבע, נווה זאב פלח 05</t>
  </si>
  <si>
    <t>בש/141/2014</t>
  </si>
  <si>
    <t>באר שבע, פלח 7</t>
  </si>
  <si>
    <t>בש/91/2014</t>
  </si>
  <si>
    <t>באר שבע, פלח 5 נווה זאב</t>
  </si>
  <si>
    <t>בש/197/2014</t>
  </si>
  <si>
    <t>באר שבע, שכונת רמות הרכס</t>
  </si>
  <si>
    <t>בש/198/2014</t>
  </si>
  <si>
    <t>באר שבע, רמות ב' (הרכס)</t>
  </si>
  <si>
    <t>בש/58/2014</t>
  </si>
  <si>
    <t>בש/71/2014</t>
  </si>
  <si>
    <t>בש/354/2013</t>
  </si>
  <si>
    <t>בש/28/2014</t>
  </si>
  <si>
    <t>בש/365/2013</t>
  </si>
  <si>
    <t>בש/235/2013</t>
  </si>
  <si>
    <t>בש/234/2013</t>
  </si>
  <si>
    <t>קרית ביאליק, אפק</t>
  </si>
  <si>
    <t>חי/274/2015</t>
  </si>
  <si>
    <t>חי/269/2015</t>
  </si>
  <si>
    <t>חי/272/2015</t>
  </si>
  <si>
    <t>חי/376/2014</t>
  </si>
  <si>
    <t>חי/359/2014</t>
  </si>
  <si>
    <t>קרית ביאליק, הרקפות שלב ב</t>
  </si>
  <si>
    <t>חי/340/2014</t>
  </si>
  <si>
    <t>קרית ביאליק, גבעת הרקפות</t>
  </si>
  <si>
    <t>חי/325/2013</t>
  </si>
  <si>
    <t>הרצליה, גליל ים</t>
  </si>
  <si>
    <t>תא/101/2016</t>
  </si>
  <si>
    <t>מר/348/2016</t>
  </si>
  <si>
    <t>מר/141/2016</t>
  </si>
  <si>
    <t>אחר</t>
  </si>
  <si>
    <t>מודיעין-מכבים-רעות, מע"ר</t>
  </si>
  <si>
    <t>מודיעין-מכבים-רעות, אזור תעסוקה</t>
  </si>
  <si>
    <t>מר/155/2016</t>
  </si>
  <si>
    <t xml:space="preserve">63א </t>
  </si>
  <si>
    <t xml:space="preserve">63ב </t>
  </si>
  <si>
    <t>דיור מוגן (בית אבות)</t>
  </si>
  <si>
    <t>N9</t>
  </si>
  <si>
    <t>מר/177/2016</t>
  </si>
  <si>
    <t>מודיעין-מכבים-רעות, בוכמן</t>
  </si>
  <si>
    <t>מר/201/2015</t>
  </si>
  <si>
    <t>כריה וחציבה</t>
  </si>
  <si>
    <t>מר/8/2016</t>
  </si>
  <si>
    <t>מר/243/2015</t>
  </si>
  <si>
    <t>מודיעין-מכבים-רעות, מע"ר מודיעין</t>
  </si>
  <si>
    <t>מר/112/2015</t>
  </si>
  <si>
    <t>מר/63/2015</t>
  </si>
  <si>
    <t xml:space="preserve">70א </t>
  </si>
  <si>
    <t xml:space="preserve">70ב </t>
  </si>
  <si>
    <t>מר/398/2014</t>
  </si>
  <si>
    <t>מר/377/2014</t>
  </si>
  <si>
    <t>מודיעין-מכבים-רעות, נופים</t>
  </si>
  <si>
    <t>מר/144/2014</t>
  </si>
  <si>
    <t>ט</t>
  </si>
  <si>
    <t>טו</t>
  </si>
  <si>
    <t>טז</t>
  </si>
  <si>
    <t>י</t>
  </si>
  <si>
    <t>יא</t>
  </si>
  <si>
    <t>יב</t>
  </si>
  <si>
    <t>יג</t>
  </si>
  <si>
    <t>יד</t>
  </si>
  <si>
    <t>יז</t>
  </si>
  <si>
    <t>יח</t>
  </si>
  <si>
    <t>יט</t>
  </si>
  <si>
    <t>כ</t>
  </si>
  <si>
    <t>כא</t>
  </si>
  <si>
    <t>כב</t>
  </si>
  <si>
    <t>כג</t>
  </si>
  <si>
    <t>כד</t>
  </si>
  <si>
    <t>כה</t>
  </si>
  <si>
    <t>כו</t>
  </si>
  <si>
    <t>כז</t>
  </si>
  <si>
    <t>כח</t>
  </si>
  <si>
    <t>כט</t>
  </si>
  <si>
    <t>מר/89/2014</t>
  </si>
  <si>
    <t>עפולה, C1</t>
  </si>
  <si>
    <t>צפ/117/2016</t>
  </si>
  <si>
    <t>קרית גת, כרמי גת</t>
  </si>
  <si>
    <t>ים/279/2016</t>
  </si>
  <si>
    <t>קרית גת, רובע בני ישראל</t>
  </si>
  <si>
    <t>ים/160/2016</t>
  </si>
  <si>
    <t xml:space="preserve">A15 </t>
  </si>
  <si>
    <t>ים/197/2016</t>
  </si>
  <si>
    <t xml:space="preserve">A261 </t>
  </si>
  <si>
    <t>ים/95/2016</t>
  </si>
  <si>
    <t xml:space="preserve">B261 </t>
  </si>
  <si>
    <t xml:space="preserve">A262 </t>
  </si>
  <si>
    <t xml:space="preserve">B262 </t>
  </si>
  <si>
    <t xml:space="preserve">A263 </t>
  </si>
  <si>
    <t xml:space="preserve">B263 </t>
  </si>
  <si>
    <t xml:space="preserve">A271 </t>
  </si>
  <si>
    <t xml:space="preserve">B271 </t>
  </si>
  <si>
    <t xml:space="preserve">A272 </t>
  </si>
  <si>
    <t xml:space="preserve">B272 </t>
  </si>
  <si>
    <t xml:space="preserve">A273 </t>
  </si>
  <si>
    <t xml:space="preserve">B273 </t>
  </si>
  <si>
    <t xml:space="preserve">A352 </t>
  </si>
  <si>
    <t xml:space="preserve">B352 </t>
  </si>
  <si>
    <t xml:space="preserve">A353 </t>
  </si>
  <si>
    <t xml:space="preserve">B353 </t>
  </si>
  <si>
    <t xml:space="preserve">A354 </t>
  </si>
  <si>
    <t xml:space="preserve">B354 </t>
  </si>
  <si>
    <t xml:space="preserve">A355 </t>
  </si>
  <si>
    <t xml:space="preserve">B355 </t>
  </si>
  <si>
    <t xml:space="preserve">A362 </t>
  </si>
  <si>
    <t xml:space="preserve">B362 </t>
  </si>
  <si>
    <t xml:space="preserve">A363 </t>
  </si>
  <si>
    <t xml:space="preserve">B363 </t>
  </si>
  <si>
    <t xml:space="preserve">A364 </t>
  </si>
  <si>
    <t xml:space="preserve">B364 </t>
  </si>
  <si>
    <t xml:space="preserve">A365 </t>
  </si>
  <si>
    <t xml:space="preserve">B365 </t>
  </si>
  <si>
    <t xml:space="preserve">A372 </t>
  </si>
  <si>
    <t xml:space="preserve">B372 </t>
  </si>
  <si>
    <t xml:space="preserve">A373 </t>
  </si>
  <si>
    <t xml:space="preserve">B373 </t>
  </si>
  <si>
    <t xml:space="preserve">A374 </t>
  </si>
  <si>
    <t xml:space="preserve">B374 </t>
  </si>
  <si>
    <t xml:space="preserve">A375 </t>
  </si>
  <si>
    <t xml:space="preserve">B375 </t>
  </si>
  <si>
    <t xml:space="preserve">A530 </t>
  </si>
  <si>
    <t xml:space="preserve">B530 </t>
  </si>
  <si>
    <t xml:space="preserve">A531 </t>
  </si>
  <si>
    <t xml:space="preserve">B531 </t>
  </si>
  <si>
    <t xml:space="preserve">A532 </t>
  </si>
  <si>
    <t xml:space="preserve">B532 </t>
  </si>
  <si>
    <t xml:space="preserve">A533 </t>
  </si>
  <si>
    <t xml:space="preserve">B533 </t>
  </si>
  <si>
    <t xml:space="preserve">A534 </t>
  </si>
  <si>
    <t xml:space="preserve">B534 </t>
  </si>
  <si>
    <t xml:space="preserve">A535 </t>
  </si>
  <si>
    <t xml:space="preserve">B535 </t>
  </si>
  <si>
    <t xml:space="preserve">A536 </t>
  </si>
  <si>
    <t xml:space="preserve">B536 </t>
  </si>
  <si>
    <t xml:space="preserve">A537 </t>
  </si>
  <si>
    <t xml:space="preserve">B537 </t>
  </si>
  <si>
    <t>קרית גת, רובע הבנים</t>
  </si>
  <si>
    <t>ים/163/2016</t>
  </si>
  <si>
    <t>ים/90/2016</t>
  </si>
  <si>
    <t>ים/138/2016</t>
  </si>
  <si>
    <t>ים/118/2016</t>
  </si>
  <si>
    <t>ים/46/2016</t>
  </si>
  <si>
    <t xml:space="preserve">A104 </t>
  </si>
  <si>
    <t>ים/20/2016</t>
  </si>
  <si>
    <t xml:space="preserve">B109 </t>
  </si>
  <si>
    <t xml:space="preserve">B112 </t>
  </si>
  <si>
    <t xml:space="preserve">A114 </t>
  </si>
  <si>
    <t xml:space="preserve">A137 </t>
  </si>
  <si>
    <t xml:space="preserve">A146 </t>
  </si>
  <si>
    <t xml:space="preserve">B149 </t>
  </si>
  <si>
    <t xml:space="preserve">B169 </t>
  </si>
  <si>
    <t xml:space="preserve">B173 </t>
  </si>
  <si>
    <t xml:space="preserve">B174 </t>
  </si>
  <si>
    <t xml:space="preserve">B177 </t>
  </si>
  <si>
    <t>ים/10/2016</t>
  </si>
  <si>
    <t xml:space="preserve">A13 </t>
  </si>
  <si>
    <t>ים/21/2016</t>
  </si>
  <si>
    <t>קרית גת, כרמי גת נכים</t>
  </si>
  <si>
    <t>ים/235/2015</t>
  </si>
  <si>
    <t>ים/234/2015</t>
  </si>
  <si>
    <t>ים/363/2014</t>
  </si>
  <si>
    <t xml:space="preserve">A101 </t>
  </si>
  <si>
    <t>ים/364/2014</t>
  </si>
  <si>
    <t xml:space="preserve">B101 </t>
  </si>
  <si>
    <t xml:space="preserve">A102 </t>
  </si>
  <si>
    <t xml:space="preserve">B102 </t>
  </si>
  <si>
    <t xml:space="preserve">B104 </t>
  </si>
  <si>
    <t xml:space="preserve">A105 </t>
  </si>
  <si>
    <t xml:space="preserve">B105 </t>
  </si>
  <si>
    <t xml:space="preserve">A108 </t>
  </si>
  <si>
    <t xml:space="preserve">B108 </t>
  </si>
  <si>
    <t xml:space="preserve">A109 </t>
  </si>
  <si>
    <t xml:space="preserve">A111 </t>
  </si>
  <si>
    <t xml:space="preserve">B111 </t>
  </si>
  <si>
    <t xml:space="preserve">A112 </t>
  </si>
  <si>
    <t xml:space="preserve">A113 </t>
  </si>
  <si>
    <t xml:space="preserve">B113 </t>
  </si>
  <si>
    <t xml:space="preserve">B114 </t>
  </si>
  <si>
    <t xml:space="preserve">A118 </t>
  </si>
  <si>
    <t xml:space="preserve">B118 </t>
  </si>
  <si>
    <t xml:space="preserve">A119 </t>
  </si>
  <si>
    <t xml:space="preserve">B119 </t>
  </si>
  <si>
    <t xml:space="preserve">A124 </t>
  </si>
  <si>
    <t xml:space="preserve">B124 </t>
  </si>
  <si>
    <t xml:space="preserve">A125 </t>
  </si>
  <si>
    <t xml:space="preserve">B125 </t>
  </si>
  <si>
    <t xml:space="preserve">A126 </t>
  </si>
  <si>
    <t xml:space="preserve">B126 </t>
  </si>
  <si>
    <t xml:space="preserve">A128 </t>
  </si>
  <si>
    <t xml:space="preserve">B128 </t>
  </si>
  <si>
    <t xml:space="preserve">A131 </t>
  </si>
  <si>
    <t xml:space="preserve">B131 </t>
  </si>
  <si>
    <t xml:space="preserve">A132 </t>
  </si>
  <si>
    <t xml:space="preserve">B132 </t>
  </si>
  <si>
    <t xml:space="preserve">A135 </t>
  </si>
  <si>
    <t xml:space="preserve">B135 </t>
  </si>
  <si>
    <t xml:space="preserve">A136 </t>
  </si>
  <si>
    <t xml:space="preserve">B136 </t>
  </si>
  <si>
    <t xml:space="preserve">B137 </t>
  </si>
  <si>
    <t xml:space="preserve">A138 </t>
  </si>
  <si>
    <t xml:space="preserve">B138 </t>
  </si>
  <si>
    <t xml:space="preserve">A139 </t>
  </si>
  <si>
    <t xml:space="preserve">B139 </t>
  </si>
  <si>
    <t xml:space="preserve">A140 </t>
  </si>
  <si>
    <t xml:space="preserve">B140 </t>
  </si>
  <si>
    <t xml:space="preserve">A141 </t>
  </si>
  <si>
    <t xml:space="preserve">B141 </t>
  </si>
  <si>
    <t xml:space="preserve">A142 </t>
  </si>
  <si>
    <t xml:space="preserve">B142 </t>
  </si>
  <si>
    <t xml:space="preserve">A145 </t>
  </si>
  <si>
    <t xml:space="preserve">B145 </t>
  </si>
  <si>
    <t xml:space="preserve">B146 </t>
  </si>
  <si>
    <t xml:space="preserve">A147 </t>
  </si>
  <si>
    <t xml:space="preserve">B147 </t>
  </si>
  <si>
    <t xml:space="preserve">A148 </t>
  </si>
  <si>
    <t xml:space="preserve">B148 </t>
  </si>
  <si>
    <t xml:space="preserve">A149 </t>
  </si>
  <si>
    <t xml:space="preserve">A150 </t>
  </si>
  <si>
    <t xml:space="preserve">B150 </t>
  </si>
  <si>
    <t xml:space="preserve">A157 </t>
  </si>
  <si>
    <t xml:space="preserve">B157 </t>
  </si>
  <si>
    <t xml:space="preserve">A158 </t>
  </si>
  <si>
    <t xml:space="preserve">B158 </t>
  </si>
  <si>
    <t xml:space="preserve">A159 </t>
  </si>
  <si>
    <t xml:space="preserve">B159 </t>
  </si>
  <si>
    <t xml:space="preserve">A160 </t>
  </si>
  <si>
    <t xml:space="preserve">B160 </t>
  </si>
  <si>
    <t xml:space="preserve">A161 </t>
  </si>
  <si>
    <t xml:space="preserve">B161 </t>
  </si>
  <si>
    <t xml:space="preserve">A162 </t>
  </si>
  <si>
    <t xml:space="preserve">B162 </t>
  </si>
  <si>
    <t xml:space="preserve">A163 </t>
  </si>
  <si>
    <t xml:space="preserve">B163 </t>
  </si>
  <si>
    <t xml:space="preserve">A165 </t>
  </si>
  <si>
    <t xml:space="preserve">B165 </t>
  </si>
  <si>
    <t xml:space="preserve">A168 </t>
  </si>
  <si>
    <t xml:space="preserve">B168 </t>
  </si>
  <si>
    <t xml:space="preserve">A169 </t>
  </si>
  <si>
    <t xml:space="preserve">A170 </t>
  </si>
  <si>
    <t xml:space="preserve">B170 </t>
  </si>
  <si>
    <t xml:space="preserve">A171 </t>
  </si>
  <si>
    <t xml:space="preserve">B171 </t>
  </si>
  <si>
    <t xml:space="preserve">A172 </t>
  </si>
  <si>
    <t xml:space="preserve">B172 </t>
  </si>
  <si>
    <t xml:space="preserve">A173 </t>
  </si>
  <si>
    <t xml:space="preserve">A174 </t>
  </si>
  <si>
    <t xml:space="preserve">A175 </t>
  </si>
  <si>
    <t xml:space="preserve">B175 </t>
  </si>
  <si>
    <t xml:space="preserve">A177 </t>
  </si>
  <si>
    <t xml:space="preserve">A178 </t>
  </si>
  <si>
    <t xml:space="preserve">B178 </t>
  </si>
  <si>
    <t xml:space="preserve">A179 </t>
  </si>
  <si>
    <t xml:space="preserve">B179 </t>
  </si>
  <si>
    <t xml:space="preserve">A180 </t>
  </si>
  <si>
    <t xml:space="preserve">B180 </t>
  </si>
  <si>
    <t xml:space="preserve">A181 </t>
  </si>
  <si>
    <t xml:space="preserve">B181 </t>
  </si>
  <si>
    <t xml:space="preserve">A183 </t>
  </si>
  <si>
    <t xml:space="preserve">B183 </t>
  </si>
  <si>
    <t xml:space="preserve">A184 </t>
  </si>
  <si>
    <t xml:space="preserve">B184 </t>
  </si>
  <si>
    <t xml:space="preserve">A185 </t>
  </si>
  <si>
    <t xml:space="preserve">B185 </t>
  </si>
  <si>
    <t xml:space="preserve">A186 </t>
  </si>
  <si>
    <t xml:space="preserve">B186 </t>
  </si>
  <si>
    <t xml:space="preserve">A187 </t>
  </si>
  <si>
    <t xml:space="preserve">B187 </t>
  </si>
  <si>
    <t xml:space="preserve">A188 </t>
  </si>
  <si>
    <t xml:space="preserve">B188 </t>
  </si>
  <si>
    <t xml:space="preserve">A189 </t>
  </si>
  <si>
    <t xml:space="preserve">B189 </t>
  </si>
  <si>
    <t xml:space="preserve">A190 </t>
  </si>
  <si>
    <t xml:space="preserve">B190 </t>
  </si>
  <si>
    <t xml:space="preserve">A191 </t>
  </si>
  <si>
    <t xml:space="preserve">B191 </t>
  </si>
  <si>
    <t xml:space="preserve">A192 </t>
  </si>
  <si>
    <t xml:space="preserve">B192 </t>
  </si>
  <si>
    <t xml:space="preserve">A193 </t>
  </si>
  <si>
    <t xml:space="preserve">B193 </t>
  </si>
  <si>
    <t xml:space="preserve">A195 </t>
  </si>
  <si>
    <t xml:space="preserve">B195 </t>
  </si>
  <si>
    <t xml:space="preserve">A196 </t>
  </si>
  <si>
    <t xml:space="preserve">B196 </t>
  </si>
  <si>
    <t xml:space="preserve">A9 </t>
  </si>
  <si>
    <t>ים/161/2014</t>
  </si>
  <si>
    <t xml:space="preserve">A10 </t>
  </si>
  <si>
    <t xml:space="preserve">A11 </t>
  </si>
  <si>
    <t xml:space="preserve">A12 </t>
  </si>
  <si>
    <t xml:space="preserve">A14 </t>
  </si>
  <si>
    <t xml:space="preserve">A16 </t>
  </si>
  <si>
    <t xml:space="preserve">A17 </t>
  </si>
  <si>
    <t xml:space="preserve">A18 </t>
  </si>
  <si>
    <t xml:space="preserve">A19 </t>
  </si>
  <si>
    <t xml:space="preserve">A20 </t>
  </si>
  <si>
    <t xml:space="preserve">A21 </t>
  </si>
  <si>
    <t xml:space="preserve">A30 </t>
  </si>
  <si>
    <t xml:space="preserve">A31 </t>
  </si>
  <si>
    <t xml:space="preserve">A32 </t>
  </si>
  <si>
    <t xml:space="preserve">A33 </t>
  </si>
  <si>
    <t xml:space="preserve">A34 </t>
  </si>
  <si>
    <t xml:space="preserve">A35 </t>
  </si>
  <si>
    <t xml:space="preserve">A36 </t>
  </si>
  <si>
    <t xml:space="preserve">A37 </t>
  </si>
  <si>
    <t xml:space="preserve">A38 </t>
  </si>
  <si>
    <t xml:space="preserve">A39 </t>
  </si>
  <si>
    <t xml:space="preserve">A40 </t>
  </si>
  <si>
    <t xml:space="preserve">A41 </t>
  </si>
  <si>
    <t>ים/142/2014</t>
  </si>
  <si>
    <t>קרית גת, גוגנהים</t>
  </si>
  <si>
    <t>ים/154/2014</t>
  </si>
  <si>
    <t>ים/160/2014</t>
  </si>
  <si>
    <t>ים/388/2013</t>
  </si>
  <si>
    <t>ים/387/2013</t>
  </si>
  <si>
    <t>קרית גת, רובע הפרחים</t>
  </si>
  <si>
    <t>ים/321/2013</t>
  </si>
  <si>
    <t xml:space="preserve">23א </t>
  </si>
  <si>
    <t>קרית גת, אזור תעשיה</t>
  </si>
  <si>
    <t>ים/55/2013</t>
  </si>
  <si>
    <t>ים/56/2013</t>
  </si>
  <si>
    <t xml:space="preserve">2 ב </t>
  </si>
  <si>
    <t>ים/255/2012</t>
  </si>
  <si>
    <t>ראשון לציון, הרקפות</t>
  </si>
  <si>
    <t>מר/353/2016</t>
  </si>
  <si>
    <t>ראשון לציון, נחלת יהודה התיכונה</t>
  </si>
  <si>
    <t>מר/267/2015</t>
  </si>
  <si>
    <t>ראשון לציון, נחלת יהודה מערב</t>
  </si>
  <si>
    <t>מר/51/2016</t>
  </si>
  <si>
    <t>מר/283/2015</t>
  </si>
  <si>
    <t>מר/350/2015</t>
  </si>
  <si>
    <t>מר/186/2015</t>
  </si>
  <si>
    <t>ראשון לציון, חלום ראשון</t>
  </si>
  <si>
    <t>מר/31/2015</t>
  </si>
  <si>
    <t>מר/348/2014</t>
  </si>
  <si>
    <t xml:space="preserve">ב </t>
  </si>
  <si>
    <t>ראשון לציון, שיכון המזרח</t>
  </si>
  <si>
    <t>מר/325/2014</t>
  </si>
  <si>
    <t xml:space="preserve">101/6 </t>
  </si>
  <si>
    <t>ראשון לציון, נחלת יהודה</t>
  </si>
  <si>
    <t>מר/250/2014</t>
  </si>
  <si>
    <t xml:space="preserve">101/7 </t>
  </si>
  <si>
    <t xml:space="preserve">103/12 </t>
  </si>
  <si>
    <t xml:space="preserve">103/13 </t>
  </si>
  <si>
    <t xml:space="preserve">104/91 </t>
  </si>
  <si>
    <t xml:space="preserve">104/92 </t>
  </si>
  <si>
    <t xml:space="preserve">105/94 </t>
  </si>
  <si>
    <t xml:space="preserve">105/95 </t>
  </si>
  <si>
    <t xml:space="preserve">107/97 </t>
  </si>
  <si>
    <t xml:space="preserve">108/16 </t>
  </si>
  <si>
    <t xml:space="preserve">108/17 </t>
  </si>
  <si>
    <t xml:space="preserve">109/18 </t>
  </si>
  <si>
    <t xml:space="preserve">109/19 </t>
  </si>
  <si>
    <t xml:space="preserve">109/25 </t>
  </si>
  <si>
    <t xml:space="preserve">109/26 </t>
  </si>
  <si>
    <t xml:space="preserve">109/33 </t>
  </si>
  <si>
    <t xml:space="preserve">110/20 </t>
  </si>
  <si>
    <t xml:space="preserve">110/21 </t>
  </si>
  <si>
    <t xml:space="preserve">110/27 </t>
  </si>
  <si>
    <t xml:space="preserve">110/28 </t>
  </si>
  <si>
    <t xml:space="preserve">110/34 </t>
  </si>
  <si>
    <t xml:space="preserve">110/35 </t>
  </si>
  <si>
    <t xml:space="preserve">117/4 </t>
  </si>
  <si>
    <t xml:space="preserve">117/15 </t>
  </si>
  <si>
    <t xml:space="preserve">117/89 </t>
  </si>
  <si>
    <t xml:space="preserve">ב + ג </t>
  </si>
  <si>
    <t>מר/19/2014</t>
  </si>
  <si>
    <t xml:space="preserve">16 ב </t>
  </si>
  <si>
    <t xml:space="preserve">156 ב </t>
  </si>
  <si>
    <t>מר/375/2016</t>
  </si>
  <si>
    <t>רמלה, שלמה בן יוסף מס' 10</t>
  </si>
  <si>
    <t>עמ/642/2016</t>
  </si>
  <si>
    <t>מר/180/2016</t>
  </si>
  <si>
    <t>מר/72/2015</t>
  </si>
  <si>
    <t>נתניה, אגם3</t>
  </si>
  <si>
    <t>מר/199/2016</t>
  </si>
  <si>
    <t>א'</t>
  </si>
  <si>
    <t>מר/103/2016</t>
  </si>
  <si>
    <t>מגורים ו/או מסחר ו/או מלונאות ו/או נופש</t>
  </si>
  <si>
    <t>מר/293/2015</t>
  </si>
  <si>
    <t>נתניה, עיר ימים</t>
  </si>
  <si>
    <t>מר/294/2015</t>
  </si>
  <si>
    <t>מר/47/2015</t>
  </si>
  <si>
    <t>עכו, משה צורי 21</t>
  </si>
  <si>
    <t>עמ/641/2016</t>
  </si>
  <si>
    <t>יבנה, נאות שמיר</t>
  </si>
  <si>
    <t>מר/243/2016</t>
  </si>
  <si>
    <t>מר/229/2016</t>
  </si>
  <si>
    <t>מר/228/2016</t>
  </si>
  <si>
    <t>מר/327/2014</t>
  </si>
  <si>
    <t>יבנה, דרום</t>
  </si>
  <si>
    <t>מר/323/2013</t>
  </si>
  <si>
    <t>חי/216/2016</t>
  </si>
  <si>
    <t>טירת הכרמל, החותרים</t>
  </si>
  <si>
    <t>חי/328/2015</t>
  </si>
  <si>
    <t>חי/147/2015</t>
  </si>
  <si>
    <t>חי/169/2015</t>
  </si>
  <si>
    <t>טירת הכרמל, גלי כרמל</t>
  </si>
  <si>
    <t>חי/233/2014</t>
  </si>
  <si>
    <t>חי/69/2014</t>
  </si>
  <si>
    <t>מחיר סופי בש"ח ללא מע"מ</t>
  </si>
  <si>
    <t>מס' מגרש/מתחם</t>
  </si>
  <si>
    <t>רלבנטיות להסכם הגג</t>
  </si>
  <si>
    <t>מס' יח"ד</t>
  </si>
  <si>
    <t>יישוב</t>
  </si>
  <si>
    <t>פרויקט​</t>
  </si>
  <si>
    <t>תאריך חתימת הסכם הגג</t>
  </si>
  <si>
    <t>היקף יח"ד לשיווק</t>
  </si>
  <si>
    <t>מכרזים</t>
  </si>
  <si>
    <t>תב"ע</t>
  </si>
  <si>
    <t>בי"הס החקלאי ניר העמק ואזור תעשיייה מרחביה</t>
  </si>
  <si>
    <t>B1, B2 </t>
  </si>
  <si>
    <t>ספטמבר 2016</t>
  </si>
  <si>
    <t>10,496​​</t>
  </si>
  <si>
    <t>צפ/281/2016</t>
  </si>
  <si>
    <t>ג/17000</t>
  </si>
  <si>
    <t>תמל/1021</t>
  </si>
  <si>
    <t>תת"ל 13/6/2 </t>
  </si>
  <si>
    <t>עפ/מק/6/12567</t>
  </si>
  <si>
    <t>מתחם B+ C​</t>
  </si>
  <si>
    <t>​12,699​</t>
  </si>
  <si>
    <t>מר/140/2016</t>
  </si>
  <si>
    <t>​​מר/229/2016​ </t>
  </si>
  <si>
    <t>​​מר/243/2016​ ​</t>
  </si>
  <si>
    <t>​ בר/274</t>
  </si>
  <si>
    <t>1/255/יב​</t>
  </si>
  <si>
    <t>מזבלה</t>
  </si>
  <si>
    <t>אגם 3</t>
  </si>
  <si>
    <t>נת/542</t>
  </si>
  <si>
    <t>עין התכלת</t>
  </si>
  <si>
    <t>הבננה</t>
  </si>
  <si>
    <t>דרום השרון</t>
  </si>
  <si>
    <t>עמליה</t>
  </si>
  <si>
    <t>רצועת ​האמצע</t>
  </si>
  <si>
    <t>חבצלת</t>
  </si>
  <si>
    <t>מרכז הקונגרסים</t>
  </si>
  <si>
    <t>אצטדיון</t>
  </si>
  <si>
    <t>נת/14/537/א</t>
  </si>
  <si>
    <t>​הרצליה</t>
  </si>
  <si>
    <t>"גליל ים"  ​</t>
  </si>
  <si>
    <t>'משולש תחבורתי'</t>
  </si>
  <si>
    <t>504-0251637</t>
  </si>
  <si>
    <t>​מ-8  "הבלוט"</t>
  </si>
  <si>
    <t>מ' 7 - א+ב </t>
  </si>
  <si>
    <t>המתנחלים</t>
  </si>
  <si>
    <t>חישתיל​​</t>
  </si>
  <si>
    <t>אגמים מזרח</t>
  </si>
  <si>
    <t>ת/4</t>
  </si>
  <si>
    <t>אשקלון מזרח​</t>
  </si>
  <si>
    <t>28,191​</t>
  </si>
  <si>
    <t>נווה מנחם</t>
  </si>
  <si>
    <t>שלב א' ו- ב'</t>
  </si>
  <si>
    <t>מתחם האצטדיון</t>
  </si>
  <si>
    <t>רמות אצבעות</t>
  </si>
  <si>
    <t>פרויקט רגר</t>
  </si>
  <si>
    <t>מבואה צפונית</t>
  </si>
  <si>
    <t>פארק הנחל</t>
  </si>
  <si>
    <t>בש/203/2016</t>
  </si>
  <si>
    <t>מערב רמלה</t>
  </si>
  <si>
    <t>מתחם מכבי</t>
  </si>
  <si>
    <t>ג'ואריש (ישרש)</t>
  </si>
  <si>
    <t>מע"ר</t>
  </si>
  <si>
    <t>גן חק"ל</t>
  </si>
  <si>
    <t>שופטים צפון</t>
  </si>
  <si>
    <t>מתחם שוק יום ד' (תוספת)</t>
  </si>
  <si>
    <t>השלמה למתחם מטע הזיתים</t>
  </si>
  <si>
    <t>שכונת האצטדיון </t>
  </si>
  <si>
    <t>לה/6/170 </t>
  </si>
  <si>
    <t>לה/1100 </t>
  </si>
  <si>
    <t>לה/3/170 </t>
  </si>
  <si>
    <t>לה/188 </t>
  </si>
  <si>
    <t>לה/16/1000 </t>
  </si>
  <si>
    <t>לה/במ/172</t>
  </si>
  <si>
    <t>ראשון לציון​</t>
  </si>
  <si>
    <t>מזרח רקפות</t>
  </si>
  <si>
    <t>צריפין - מתחם מס' 4</t>
  </si>
  <si>
    <t>צריפין 5</t>
  </si>
  <si>
    <t>נחלת קיבוץ ו'</t>
  </si>
  <si>
    <t>​129/2​2/1</t>
  </si>
  <si>
    <t>ראש העין​</t>
  </si>
  <si>
    <t>מ​תחם A ​</t>
  </si>
  <si>
    <t>מתחם C</t>
  </si>
  <si>
    <t>מתחם D </t>
  </si>
  <si>
    <t>​מתחם E </t>
  </si>
  <si>
    <t>מתחם F</t>
  </si>
  <si>
    <t>רנ/26​5/א</t>
  </si>
  <si>
    <t>רנ/2​50/א</t>
  </si>
  <si>
    <t>מ​תחם N​​</t>
  </si>
  <si>
    <t>אמת המים - מע"ר ​​​ </t>
  </si>
  <si>
    <t>מתחם P </t>
  </si>
  <si>
    <t>מתחם L</t>
  </si>
  <si>
    <t>11,804​</t>
  </si>
  <si>
    <t>420-0138651 (מד/8/23)​</t>
  </si>
  <si>
    <t>קרית ביאליק</t>
  </si>
  <si>
    <t>נאות אפק </t>
  </si>
  <si>
    <t>כפר ביאליק דרום </t>
  </si>
  <si>
    <t>הרחבת גבעת הרקפות​</t>
  </si>
  <si>
    <t>378/2016/חי</t>
  </si>
  <si>
    <t>379/2016/חי</t>
  </si>
  <si>
    <t>380/2016/חי</t>
  </si>
  <si>
    <t>ק/4​25</t>
  </si>
  <si>
    <t>קרית גת</t>
  </si>
  <si>
    <t>כרמי גת ​</t>
  </si>
  <si>
    <t>6,442 ​</t>
  </si>
  <si>
    <t>ים/8/2017</t>
  </si>
  <si>
    <t>ים/11/2017</t>
  </si>
  <si>
    <t>סה"כ</t>
  </si>
  <si>
    <t>מר/139/2016​</t>
  </si>
  <si>
    <t>מר/139/2016</t>
  </si>
  <si>
    <t>חי/378/2016</t>
  </si>
  <si>
    <t>חי/379/2016</t>
  </si>
  <si>
    <t>חי/380/2016</t>
  </si>
  <si>
    <t/>
  </si>
  <si>
    <t>מ"ר לפיתוח</t>
  </si>
  <si>
    <t>רווח יזם</t>
  </si>
  <si>
    <t>עלות בניית יח"ד</t>
  </si>
  <si>
    <t>מס' יח"ד ששווקו עד כה</t>
  </si>
  <si>
    <t>ישוב</t>
  </si>
  <si>
    <t>יח"ד ששווקו במחיר למשתכן</t>
  </si>
  <si>
    <t> </t>
  </si>
  <si>
    <t>311/2016/ים</t>
  </si>
  <si>
    <t>סטטוס (מספר משמעותו שהקרקעות משווקות)</t>
  </si>
  <si>
    <t>25/2017/בש</t>
  </si>
  <si>
    <t>396/2016/בש</t>
  </si>
  <si>
    <t>עודכנה תחת תוכנית 605-0407163</t>
  </si>
  <si>
    <t>תאריך סגירה</t>
  </si>
  <si>
    <t>תאריך פתיחה</t>
  </si>
  <si>
    <t>תאריך פרסום</t>
  </si>
  <si>
    <t> מס' מכרז</t>
  </si>
  <si>
    <t>עודכן</t>
  </si>
  <si>
    <t>203/2016/בש</t>
  </si>
  <si>
    <t>141/2014/בש</t>
  </si>
  <si>
    <t>354/2013/בש</t>
  </si>
  <si>
    <t>הפרסום</t>
  </si>
  <si>
    <t>313/2015/ים</t>
  </si>
  <si>
    <t>336/2015/ים</t>
  </si>
  <si>
    <t>337/2015/ים</t>
  </si>
  <si>
    <t>הכנסות ליח"ד</t>
  </si>
  <si>
    <t>הערכת הכנסות כוללת על סמך הכנסות נוכחיות ליח"ד</t>
  </si>
  <si>
    <t>301-0186817</t>
  </si>
  <si>
    <t>גו'אריש</t>
  </si>
  <si>
    <t>גן חק"ל ב'</t>
  </si>
  <si>
    <t>השלמה למתחם מטע זיתים</t>
  </si>
  <si>
    <t>שכונת האיצטדיון</t>
  </si>
  <si>
    <t>לה/170/6</t>
  </si>
  <si>
    <t>לה/1100</t>
  </si>
  <si>
    <t>לה/170/3</t>
  </si>
  <si>
    <t>לה/188</t>
  </si>
  <si>
    <t>לה/1000/16</t>
  </si>
  <si>
    <t>דיון בהתנגדויות</t>
  </si>
  <si>
    <t>טרם הכנה</t>
  </si>
  <si>
    <t>7.7.15</t>
  </si>
  <si>
    <t>החלטה מס'</t>
  </si>
  <si>
    <t>הקשר</t>
  </si>
  <si>
    <t>הפסד היטלי השבחה עקב מחיר מטרה</t>
  </si>
  <si>
    <t>רצועת האמצע</t>
  </si>
  <si>
    <t>איצטדיון</t>
  </si>
  <si>
    <t>נת/545/א</t>
  </si>
  <si>
    <t>פארק נטר</t>
  </si>
  <si>
    <t>ברכת חנון</t>
  </si>
  <si>
    <t>בתוקף מאי 2016</t>
  </si>
  <si>
    <t>בתוקף אוגוסט 2016</t>
  </si>
  <si>
    <t>בתוקף אוגוסט 2017</t>
  </si>
  <si>
    <t>בתוקף אוגוסט 2018</t>
  </si>
  <si>
    <t>בתוקף פברואר 2019</t>
  </si>
  <si>
    <t>בתוקף פברואר 2021</t>
  </si>
  <si>
    <t>בתוקף פברואר 2018</t>
  </si>
  <si>
    <t>קצב שיווק/הסכמי גג</t>
  </si>
  <si>
    <t>העדפה לבני המקום</t>
  </si>
  <si>
    <t>גביית הוצאות פיתוח לטובת מוסדות הרשות</t>
  </si>
  <si>
    <t>ישן מול חדש, ללא סעיף 5.1</t>
  </si>
  <si>
    <t>טרם נקבע</t>
  </si>
  <si>
    <t>גלי כרמל</t>
  </si>
  <si>
    <t>דרום ז'בוטינסקי/הפרחים</t>
  </si>
  <si>
    <t>מתחם החותרים</t>
  </si>
  <si>
    <t>מורדות מזרחיים</t>
  </si>
  <si>
    <t>מתחם תע"ש</t>
  </si>
  <si>
    <t>בתכנון צפי לתוקף 2018</t>
  </si>
  <si>
    <t>מכ/518, מכ/518א</t>
  </si>
  <si>
    <t>מכ/448</t>
  </si>
  <si>
    <t>מכ/582</t>
  </si>
  <si>
    <t>1.9.16</t>
  </si>
  <si>
    <t>מלונאות/דיור מוגן</t>
  </si>
  <si>
    <t>תמריץ מחיר למשתכן</t>
  </si>
  <si>
    <t>מימוש שנתי של תעסוקה על פני זמן הבינוי</t>
  </si>
  <si>
    <t>בוטלה ע"י 1413</t>
  </si>
  <si>
    <t>בוטלה ע"י 1444</t>
  </si>
  <si>
    <t>15,000-18,000 ליח"ד במסגרת הסכמי גג</t>
  </si>
  <si>
    <t>3,000 ש"ח ליח"ד שלא במסגרת הסכם גג</t>
  </si>
  <si>
    <t>2000 יח"ד לשנה לשיווק</t>
  </si>
  <si>
    <t>קודמות שבוטלו: 1479, 1476, 1465</t>
  </si>
  <si>
    <t>420-0241646</t>
  </si>
  <si>
    <t>כן</t>
  </si>
  <si>
    <t>במחיר למשתכן</t>
  </si>
  <si>
    <t>לא</t>
  </si>
  <si>
    <t>מר/398/2014
מר/243/2015
מר/377/2014</t>
  </si>
  <si>
    <t>מר/144/2014
מר/112/2015
מר/177/2016</t>
  </si>
  <si>
    <t>לוד</t>
  </si>
  <si>
    <t>הוצאות פיתוח בהסכם</t>
  </si>
  <si>
    <t>B+C</t>
  </si>
  <si>
    <t>יבנה שורק</t>
  </si>
  <si>
    <t>מע"ר יבנה</t>
  </si>
  <si>
    <t>מרגלות תל יבנה</t>
  </si>
  <si>
    <t>יב/255 /1</t>
  </si>
  <si>
    <t>מח/261</t>
  </si>
  <si>
    <t>יב/129/ 15</t>
  </si>
  <si>
    <t>יב/176/ 9</t>
  </si>
  <si>
    <t>בהכנה לותמ"ל</t>
  </si>
  <si>
    <t>לקראת מתן תוקף</t>
  </si>
  <si>
    <t>הגשה למחוזית</t>
  </si>
  <si>
    <t>25.12.16</t>
  </si>
  <si>
    <t>מספר מכרז</t>
  </si>
  <si>
    <t xml:space="preserve">ים/235/2015, ים/161/2014, ים/197/2016 , ים/21/2016 </t>
  </si>
  <si>
    <t xml:space="preserve">ים/46/2016, ים/118/2016, ים/138/2016, ים/95/2016, ים/160/2014 </t>
  </si>
  <si>
    <t xml:space="preserve">ים/364/2014, ים/20/2016 , ים/363/2014 </t>
  </si>
  <si>
    <t>ים/388/2013, ים/142/2014 , ים/234/2015 , ים/90/2016 , ים/387/2013 , ים/10/2016</t>
  </si>
  <si>
    <t xml:space="preserve">נת/מק/14/537/ג ,נת/מק/14/537/א/3 ,נת/מק/14/537/א/2 ,נת/7/400 ,נת/537 ,נת/14/537/ב ,נת/14/537/א </t>
  </si>
  <si>
    <t>אין הצעות למתחם זה</t>
  </si>
  <si>
    <t>מר/309/2016</t>
  </si>
  <si>
    <t>מעלות תרשיחא, כזיב</t>
  </si>
  <si>
    <t>צפ/382/2016</t>
  </si>
  <si>
    <t>מר/4/2017</t>
  </si>
  <si>
    <t>A120</t>
  </si>
  <si>
    <t>B120</t>
  </si>
  <si>
    <t>A121</t>
  </si>
  <si>
    <t>B121</t>
  </si>
  <si>
    <t>A122</t>
  </si>
  <si>
    <t>B122</t>
  </si>
  <si>
    <t>A151</t>
  </si>
  <si>
    <t>B151</t>
  </si>
  <si>
    <t>A166</t>
  </si>
  <si>
    <t>B166</t>
  </si>
  <si>
    <t>B167</t>
  </si>
  <si>
    <t>מבשרת ציון</t>
  </si>
  <si>
    <t>ים/285/2016</t>
  </si>
  <si>
    <t>באר שבע, הפארק</t>
  </si>
  <si>
    <t>בש/396/2016</t>
  </si>
  <si>
    <t>המציע זכה במתחם אחר</t>
  </si>
  <si>
    <t>ראשון לציון, רקפות</t>
  </si>
  <si>
    <t>מר/40/2017</t>
  </si>
  <si>
    <t>חולון, תל גיבורים</t>
  </si>
  <si>
    <t>תא/45/2017</t>
  </si>
  <si>
    <t>רמלה, מערב</t>
  </si>
  <si>
    <t>מר/49/2017</t>
  </si>
  <si>
    <t>ים/50/2017</t>
  </si>
  <si>
    <t>בחירת מתחם תערך במרחב</t>
  </si>
  <si>
    <t>בש/260/2016</t>
  </si>
  <si>
    <t>מר/5/2017</t>
  </si>
  <si>
    <t>ראשון לציון, נרקיסים</t>
  </si>
  <si>
    <t>מר/308/2016</t>
  </si>
  <si>
    <t>סחנין</t>
  </si>
  <si>
    <t>צפ/317/2016</t>
  </si>
  <si>
    <t>נתניה, האגם</t>
  </si>
  <si>
    <t>מר/38/2017</t>
  </si>
  <si>
    <t>ירוחם</t>
  </si>
  <si>
    <t>23/04/2017</t>
  </si>
  <si>
    <t>בש/211/2016</t>
  </si>
  <si>
    <t>שלומי, יערית</t>
  </si>
  <si>
    <t>חי/219/2016</t>
  </si>
  <si>
    <t>מג'ד אל כרום (שאג'ור)</t>
  </si>
  <si>
    <t>צפ/233/2016</t>
  </si>
  <si>
    <t>קרית שמונה, יובלים</t>
  </si>
  <si>
    <t>צפ/241/2016</t>
  </si>
  <si>
    <t>חצור הגלילית, בוסתן</t>
  </si>
  <si>
    <t>צפ/246/2016</t>
  </si>
  <si>
    <t>מעלות תרשיחא, נוף אגם</t>
  </si>
  <si>
    <t>צפ/384/2016</t>
  </si>
  <si>
    <t>טירת הכרמל, רח' הרימון 7</t>
  </si>
  <si>
    <t>עמ/604/2017</t>
  </si>
  <si>
    <t>אילת, שחמון 11</t>
  </si>
  <si>
    <t>בש/165/2016</t>
  </si>
  <si>
    <t>כפר מנדא</t>
  </si>
  <si>
    <t>צפ/237/2016</t>
  </si>
  <si>
    <t>הצעות לא בטווח</t>
  </si>
  <si>
    <t>חדרה, רחוב השלדג גבעת אולגה</t>
  </si>
  <si>
    <t>חי/351/2016</t>
  </si>
  <si>
    <t>חולון</t>
  </si>
  <si>
    <t>שלומי</t>
  </si>
  <si>
    <t>קרית שמונה</t>
  </si>
  <si>
    <t>חצור הגלילית</t>
  </si>
  <si>
    <t>חדרה</t>
  </si>
  <si>
    <t>מר/252/2015</t>
  </si>
  <si>
    <t>אין הצעות למגרש זה</t>
  </si>
  <si>
    <t>ראש העין, מתחם A</t>
  </si>
  <si>
    <t>מר/241/2015</t>
  </si>
  <si>
    <t>ראש העין, אתר B</t>
  </si>
  <si>
    <t>מר/242/2015</t>
  </si>
  <si>
    <t>מר/184/2015</t>
  </si>
  <si>
    <t>ראש העין, מתחם B</t>
  </si>
  <si>
    <t>מר/417/2014</t>
  </si>
  <si>
    <t>ראש העין, אתר A</t>
  </si>
  <si>
    <t>מר/365/2014</t>
  </si>
  <si>
    <t>הצעה יחידה ובהתאם לתנאי המכרז לא הוכרזו זוכים</t>
  </si>
  <si>
    <t>ראש העין, מתחם ג'ון קנדי</t>
  </si>
  <si>
    <t>מר/104/2013</t>
  </si>
  <si>
    <t>מר/307/2012</t>
  </si>
  <si>
    <t>מר/96/2012</t>
  </si>
  <si>
    <t>ראש העין, רובע B</t>
  </si>
  <si>
    <t>מר/313/2011</t>
  </si>
  <si>
    <t>מר/201/2011</t>
  </si>
  <si>
    <t>מר/153/2011</t>
  </si>
  <si>
    <t>ראש העין, רובע A B</t>
  </si>
  <si>
    <t>מר/366/2010</t>
  </si>
  <si>
    <t>המציע זכה במגרש אחר</t>
  </si>
  <si>
    <t>הצעות לא תקינות</t>
  </si>
  <si>
    <t>ראש העין, ראש העין</t>
  </si>
  <si>
    <t>מר/302/2010</t>
  </si>
  <si>
    <t>מר/35/2010</t>
  </si>
  <si>
    <t>71/2</t>
  </si>
  <si>
    <t>מר/372/2009</t>
  </si>
  <si>
    <t>מר/258/2009</t>
  </si>
  <si>
    <t>א/50/3</t>
  </si>
  <si>
    <t>מר/37/2009</t>
  </si>
  <si>
    <t>ראש העין, צומת קסם</t>
  </si>
  <si>
    <t>מר/256/2008</t>
  </si>
  <si>
    <t>58/20 2</t>
  </si>
  <si>
    <t>מר/211/2008</t>
  </si>
  <si>
    <t>מר/215/2008</t>
  </si>
  <si>
    <t>מר/500/2007</t>
  </si>
  <si>
    <t>11 ב</t>
  </si>
  <si>
    <t>מר/233/2007</t>
  </si>
  <si>
    <t>ה 1</t>
  </si>
  <si>
    <t>מר/149/2007</t>
  </si>
  <si>
    <t>46 1</t>
  </si>
  <si>
    <t>ספורט ו/או נופש ו/או תיירות ו/או מלונאות</t>
  </si>
  <si>
    <t>מר/70/2003</t>
  </si>
  <si>
    <t xml:space="preserve">מר/252/2015 </t>
  </si>
  <si>
    <t xml:space="preserve">מר/242/2015 , מר/184/2015 , מר/417/2014 , מר/313/2011 , מר/201/2011 </t>
  </si>
  <si>
    <t xml:space="preserve">מר/241/2015 , מר/365/2014 , מר/366/2010 </t>
  </si>
  <si>
    <t xml:space="preserve">מר/256/2008 </t>
  </si>
  <si>
    <t>במהלך הבדיקה</t>
  </si>
  <si>
    <t>בבדיקת מכרזים</t>
  </si>
  <si>
    <t xml:space="preserve">בש/396/2016 , בש/203/2016 </t>
  </si>
  <si>
    <t xml:space="preserve">בש/260/2016 </t>
  </si>
  <si>
    <t xml:space="preserve">בש/354/2013 </t>
  </si>
  <si>
    <t xml:space="preserve">חי/169/2015 , חי/233/2014 , חי/69/2014 </t>
  </si>
  <si>
    <t xml:space="preserve">מר/228/2016 </t>
  </si>
  <si>
    <t xml:space="preserve">מר/38/2017 </t>
  </si>
  <si>
    <t>413-0133843, רצ/129/22/1</t>
  </si>
  <si>
    <t>נרקיסים</t>
  </si>
  <si>
    <t xml:space="preserve">מר/31/2015 </t>
  </si>
  <si>
    <t xml:space="preserve">מר/186/2015 , מר/283/2015, מר/350/2015 , מר/40/2017 </t>
  </si>
  <si>
    <t xml:space="preserve">מר/49/2017 </t>
  </si>
  <si>
    <t xml:space="preserve">צפ/383/2016 </t>
  </si>
  <si>
    <t>מס' יח"ד ששווקו עד כה במסגרת הסכמי הגג</t>
  </si>
  <si>
    <t>הכנסות פיתוח לטובת הסכם הגג</t>
  </si>
  <si>
    <t>הכנסות ממכירת הקרקעות בהסכמי הגג</t>
  </si>
  <si>
    <t>שנה</t>
  </si>
  <si>
    <t>חודש</t>
  </si>
  <si>
    <t>Column Labels</t>
  </si>
  <si>
    <t>Grand Total</t>
  </si>
  <si>
    <t>Row Labels</t>
  </si>
  <si>
    <t>Sum of מס' יח"ד</t>
  </si>
  <si>
    <t>(All)</t>
  </si>
  <si>
    <t>(Multiple Items)</t>
  </si>
  <si>
    <t>הכנסות פיתוח מהמתחם</t>
  </si>
  <si>
    <t>Sum of הכנסות פיתוח מהמתחם</t>
  </si>
  <si>
    <t>Sum of הוצאות פיתוח</t>
  </si>
  <si>
    <t>יח' שלב א'</t>
  </si>
  <si>
    <t>יח"ד ששווקו עד כה</t>
  </si>
  <si>
    <t>סה"כ שיווקים בתחומי העיר מאז 2014</t>
  </si>
  <si>
    <t>יח"ד ששווקו עד כה במסגרת הסכמי הגג</t>
  </si>
  <si>
    <t>מס' יחידות הדיור שהיו אמורות להיות משווקות עד כה לפי ההסכם</t>
  </si>
  <si>
    <t>2021 וצפונה</t>
  </si>
  <si>
    <t>מצטבר</t>
  </si>
  <si>
    <t>ההסכם טרם השלים סבב חתימות</t>
  </si>
  <si>
    <t>מעל שנה</t>
  </si>
  <si>
    <t>מעל שנתיים</t>
  </si>
  <si>
    <t>אין פיגור</t>
  </si>
  <si>
    <t>הפיגור בשיווק נזקף כנגד רמ"י</t>
  </si>
  <si>
    <t>פיגור לוחות הזמנים ביחס להתחייבות הרשות</t>
  </si>
  <si>
    <t>פיגור במספר יח"ד בהסכם ביחס ליעדי סוף שנת 2016</t>
  </si>
  <si>
    <t>יעד אמצע 2016 הושלם במרץ 2017 (פיגור של 9 חודשים)</t>
  </si>
  <si>
    <t>הכנסות עד כה</t>
  </si>
  <si>
    <t>הכנסות בפועל ליח"ד</t>
  </si>
  <si>
    <t>הכנסות דמי ניהול לעירייה</t>
  </si>
  <si>
    <t>מס' יחידות דיור בשנה א' עד ג'</t>
  </si>
  <si>
    <t>סה"כ יח"ד ששווקו עד יוני 2017</t>
  </si>
  <si>
    <t>352-0094631</t>
  </si>
  <si>
    <t>תחילת 2016</t>
  </si>
  <si>
    <t>מועד חתימת ההסכם</t>
  </si>
  <si>
    <t>סה"כ יחידות דיור במסגרת ההסכם</t>
  </si>
  <si>
    <t>הוצאה כוללת ליח"ד (שלב א')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</si>
</sst>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_ [$₪-40D]\ * #,##0_ ;_ [$₪-40D]\ * \-#,##0_ ;_ [$₪-40D]\ * &quot;-&quot;_ ;_ @_ "/>
  </numFmts>
  <fonts count="18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1"/>
      <name val="Tahoma"/>
    </font>
    <font>
      <b/>
      <sz val="9"/>
      <color indexed="81"/>
      <name val="Tahoma"/>
    </font>
    <font>
      <b/>
      <sz val="11"/>
      <color theme="1"/>
      <name val="Calibri"/>
      <family val="2"/>
      <scheme val="minor"/>
    </font>
    <font>
      <b/>
      <sz val="11"/>
      <color rgb="FF665D58"/>
      <name val="Inherit"/>
    </font>
    <font>
      <sz val="10"/>
      <color rgb="FF000000"/>
      <name val="Inherit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rgb="FF000000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87B4D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 style="medium">
        <color theme="4" tint="-0.249977111117893"/>
      </top>
      <bottom/>
      <diagonal/>
    </border>
    <border>
      <left/>
      <right/>
      <top style="thin">
        <color theme="4" tint="-0.249977111117893"/>
      </top>
      <bottom style="medium">
        <color theme="4" tint="-0.24997711111789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1" fillId="2" borderId="1" applyNumberFormat="0" applyAlignment="0" applyProtection="0"/>
    <xf numFmtId="0" fontId="2" fillId="3" borderId="1" applyNumberFormat="0" applyAlignment="0" applyProtection="0"/>
    <xf numFmtId="0" fontId="3" fillId="4" borderId="2" applyNumberFormat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58">
    <xf numFmtId="0" fontId="0" fillId="0" borderId="0" xfId="0"/>
    <xf numFmtId="164" fontId="1" fillId="2" borderId="1" xfId="1" applyNumberFormat="1"/>
    <xf numFmtId="0" fontId="3" fillId="4" borderId="2" xfId="3"/>
    <xf numFmtId="164" fontId="2" fillId="3" borderId="1" xfId="2" applyNumberFormat="1"/>
    <xf numFmtId="43" fontId="2" fillId="3" borderId="1" xfId="2" applyNumberFormat="1"/>
    <xf numFmtId="0" fontId="1" fillId="2" borderId="1" xfId="1"/>
    <xf numFmtId="9" fontId="1" fillId="2" borderId="1" xfId="1" applyNumberFormat="1"/>
    <xf numFmtId="0" fontId="5" fillId="5" borderId="0" xfId="6" applyFill="1"/>
    <xf numFmtId="0" fontId="5" fillId="0" borderId="0" xfId="6"/>
    <xf numFmtId="9" fontId="2" fillId="3" borderId="1" xfId="5" applyFont="1" applyFill="1" applyBorder="1"/>
    <xf numFmtId="0" fontId="0" fillId="0" borderId="0" xfId="0" applyAlignment="1">
      <alignment horizontal="center"/>
    </xf>
    <xf numFmtId="3" fontId="0" fillId="0" borderId="0" xfId="0" applyNumberFormat="1"/>
    <xf numFmtId="1" fontId="0" fillId="0" borderId="0" xfId="0" applyNumberFormat="1"/>
    <xf numFmtId="164" fontId="0" fillId="0" borderId="0" xfId="4" applyNumberFormat="1" applyFont="1"/>
    <xf numFmtId="9" fontId="0" fillId="0" borderId="0" xfId="0" applyNumberFormat="1"/>
    <xf numFmtId="164" fontId="0" fillId="0" borderId="0" xfId="0" applyNumberFormat="1"/>
    <xf numFmtId="43" fontId="0" fillId="0" borderId="0" xfId="0" applyNumberFormat="1"/>
    <xf numFmtId="0" fontId="0" fillId="0" borderId="0" xfId="0" applyAlignment="1">
      <alignment horizontal="center" wrapText="1"/>
    </xf>
    <xf numFmtId="164" fontId="1" fillId="2" borderId="3" xfId="4" applyNumberFormat="1" applyFont="1" applyFill="1" applyBorder="1"/>
    <xf numFmtId="164" fontId="2" fillId="3" borderId="1" xfId="4" applyNumberFormat="1" applyFont="1" applyFill="1" applyBorder="1"/>
    <xf numFmtId="165" fontId="0" fillId="0" borderId="0" xfId="5" applyNumberFormat="1" applyFont="1"/>
    <xf numFmtId="165" fontId="2" fillId="3" borderId="1" xfId="5" applyNumberFormat="1" applyFont="1" applyFill="1" applyBorder="1"/>
    <xf numFmtId="9" fontId="2" fillId="3" borderId="0" xfId="5" applyFont="1" applyFill="1" applyBorder="1"/>
    <xf numFmtId="0" fontId="0" fillId="6" borderId="0" xfId="0" applyFill="1"/>
    <xf numFmtId="164" fontId="1" fillId="2" borderId="0" xfId="4" applyNumberFormat="1" applyFont="1" applyFill="1" applyBorder="1"/>
    <xf numFmtId="164" fontId="2" fillId="3" borderId="3" xfId="2" applyNumberFormat="1" applyBorder="1"/>
    <xf numFmtId="164" fontId="1" fillId="2" borderId="3" xfId="1" applyNumberFormat="1" applyBorder="1"/>
    <xf numFmtId="164" fontId="3" fillId="4" borderId="2" xfId="4" applyNumberFormat="1" applyFont="1" applyFill="1" applyBorder="1"/>
    <xf numFmtId="9" fontId="3" fillId="4" borderId="2" xfId="5" applyFont="1" applyFill="1" applyBorder="1"/>
    <xf numFmtId="0" fontId="0" fillId="7" borderId="0" xfId="0" applyFill="1"/>
    <xf numFmtId="0" fontId="5" fillId="7" borderId="0" xfId="6" applyFill="1"/>
    <xf numFmtId="164" fontId="0" fillId="0" borderId="0" xfId="4" applyNumberFormat="1" applyFont="1" applyAlignment="1">
      <alignment horizontal="center"/>
    </xf>
    <xf numFmtId="164" fontId="1" fillId="2" borderId="1" xfId="4" applyNumberFormat="1" applyFont="1" applyFill="1" applyBorder="1"/>
    <xf numFmtId="0" fontId="0" fillId="0" borderId="0" xfId="0" applyAlignment="1">
      <alignment wrapText="1"/>
    </xf>
    <xf numFmtId="0" fontId="1" fillId="2" borderId="1" xfId="1" applyAlignment="1">
      <alignment wrapText="1"/>
    </xf>
    <xf numFmtId="0" fontId="0" fillId="0" borderId="5" xfId="0" applyBorder="1" applyAlignment="1">
      <alignment horizontal="center"/>
    </xf>
    <xf numFmtId="164" fontId="0" fillId="0" borderId="5" xfId="4" applyNumberFormat="1" applyFont="1" applyBorder="1" applyAlignment="1">
      <alignment horizontal="center"/>
    </xf>
    <xf numFmtId="1" fontId="0" fillId="0" borderId="5" xfId="0" applyNumberFormat="1" applyBorder="1"/>
    <xf numFmtId="164" fontId="0" fillId="0" borderId="5" xfId="0" applyNumberFormat="1" applyBorder="1"/>
    <xf numFmtId="9" fontId="0" fillId="0" borderId="5" xfId="5" applyFont="1" applyBorder="1"/>
    <xf numFmtId="0" fontId="0" fillId="0" borderId="5" xfId="0" applyBorder="1" applyAlignment="1">
      <alignment horizontal="center" wrapText="1"/>
    </xf>
    <xf numFmtId="0" fontId="0" fillId="8" borderId="0" xfId="0" applyFill="1"/>
    <xf numFmtId="0" fontId="0" fillId="8" borderId="0" xfId="0" applyFill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/>
    </xf>
    <xf numFmtId="0" fontId="8" fillId="8" borderId="6" xfId="0" applyFont="1" applyFill="1" applyBorder="1" applyAlignment="1">
      <alignment vertical="center" wrapText="1"/>
    </xf>
    <xf numFmtId="0" fontId="8" fillId="8" borderId="7" xfId="0" applyFont="1" applyFill="1" applyBorder="1" applyAlignment="1">
      <alignment vertical="center" wrapText="1"/>
    </xf>
    <xf numFmtId="0" fontId="9" fillId="8" borderId="8" xfId="0" applyFont="1" applyFill="1" applyBorder="1" applyAlignment="1">
      <alignment horizontal="center" vertical="center" wrapText="1"/>
    </xf>
    <xf numFmtId="0" fontId="10" fillId="8" borderId="9" xfId="0" applyFont="1" applyFill="1" applyBorder="1" applyAlignment="1">
      <alignment horizontal="right" vertical="center" wrapText="1" indent="1"/>
    </xf>
    <xf numFmtId="0" fontId="10" fillId="8" borderId="10" xfId="0" applyFont="1" applyFill="1" applyBorder="1" applyAlignment="1">
      <alignment horizontal="right" vertical="center" wrapText="1" indent="1"/>
    </xf>
    <xf numFmtId="0" fontId="10" fillId="8" borderId="11" xfId="0" applyFont="1" applyFill="1" applyBorder="1" applyAlignment="1">
      <alignment horizontal="right" vertical="center" wrapText="1" indent="1"/>
    </xf>
    <xf numFmtId="0" fontId="5" fillId="8" borderId="9" xfId="6" applyFill="1" applyBorder="1" applyAlignment="1">
      <alignment horizontal="left" vertical="center" wrapText="1" indent="1"/>
    </xf>
    <xf numFmtId="0" fontId="5" fillId="8" borderId="10" xfId="6" applyFill="1" applyBorder="1" applyAlignment="1">
      <alignment horizontal="left" vertical="center" wrapText="1" indent="1"/>
    </xf>
    <xf numFmtId="0" fontId="10" fillId="8" borderId="10" xfId="0" applyFont="1" applyFill="1" applyBorder="1" applyAlignment="1">
      <alignment horizontal="left" vertical="center" wrapText="1" indent="1"/>
    </xf>
    <xf numFmtId="0" fontId="0" fillId="8" borderId="11" xfId="0" applyFill="1" applyBorder="1" applyAlignment="1">
      <alignment horizontal="right" vertical="center" wrapText="1" indent="1"/>
    </xf>
    <xf numFmtId="0" fontId="0" fillId="8" borderId="9" xfId="0" applyFill="1" applyBorder="1" applyAlignment="1">
      <alignment horizontal="left" vertical="center" wrapText="1" indent="1"/>
    </xf>
    <xf numFmtId="3" fontId="10" fillId="8" borderId="10" xfId="0" applyNumberFormat="1" applyFont="1" applyFill="1" applyBorder="1" applyAlignment="1">
      <alignment horizontal="left" vertical="center" wrapText="1" indent="1"/>
    </xf>
    <xf numFmtId="0" fontId="10" fillId="8" borderId="11" xfId="0" applyFont="1" applyFill="1" applyBorder="1" applyAlignment="1">
      <alignment horizontal="left" vertical="center" wrapText="1" indent="1"/>
    </xf>
    <xf numFmtId="0" fontId="5" fillId="8" borderId="9" xfId="6" applyFill="1" applyBorder="1" applyAlignment="1">
      <alignment horizontal="right" vertical="center" wrapText="1" indent="1"/>
    </xf>
    <xf numFmtId="0" fontId="0" fillId="8" borderId="10" xfId="0" applyFill="1" applyBorder="1" applyAlignment="1">
      <alignment horizontal="right" vertical="center" wrapText="1" indent="1"/>
    </xf>
    <xf numFmtId="0" fontId="5" fillId="8" borderId="11" xfId="6" applyFill="1" applyBorder="1" applyAlignment="1">
      <alignment horizontal="left" vertical="center" wrapText="1" indent="1"/>
    </xf>
    <xf numFmtId="0" fontId="5" fillId="8" borderId="10" xfId="6" applyFill="1" applyBorder="1" applyAlignment="1">
      <alignment horizontal="right" vertical="center" wrapText="1" indent="1"/>
    </xf>
    <xf numFmtId="0" fontId="0" fillId="8" borderId="9" xfId="0" applyFill="1" applyBorder="1" applyAlignment="1">
      <alignment horizontal="right" vertical="center" wrapText="1" indent="1"/>
    </xf>
    <xf numFmtId="0" fontId="5" fillId="8" borderId="10" xfId="6" applyFill="1" applyBorder="1" applyAlignment="1">
      <alignment horizontal="right" vertical="center" wrapText="1" indent="2"/>
    </xf>
    <xf numFmtId="0" fontId="5" fillId="8" borderId="11" xfId="6" applyFill="1" applyBorder="1" applyAlignment="1">
      <alignment horizontal="right" vertical="center" wrapText="1" indent="3"/>
    </xf>
    <xf numFmtId="0" fontId="9" fillId="8" borderId="8" xfId="0" applyFont="1" applyFill="1" applyBorder="1" applyAlignment="1">
      <alignment horizontal="left" vertical="center" wrapText="1" indent="1"/>
    </xf>
    <xf numFmtId="0" fontId="10" fillId="8" borderId="8" xfId="0" applyFont="1" applyFill="1" applyBorder="1" applyAlignment="1">
      <alignment horizontal="right" vertical="center" wrapText="1" indent="1"/>
    </xf>
    <xf numFmtId="3" fontId="10" fillId="8" borderId="8" xfId="0" applyNumberFormat="1" applyFont="1" applyFill="1" applyBorder="1" applyAlignment="1">
      <alignment horizontal="right" vertical="center" wrapText="1" indent="1"/>
    </xf>
    <xf numFmtId="0" fontId="10" fillId="8" borderId="9" xfId="0" applyFont="1" applyFill="1" applyBorder="1" applyAlignment="1">
      <alignment horizontal="right" vertical="center" wrapText="1" indent="1"/>
    </xf>
    <xf numFmtId="0" fontId="10" fillId="8" borderId="10" xfId="0" applyFont="1" applyFill="1" applyBorder="1" applyAlignment="1">
      <alignment horizontal="right" vertical="center" wrapText="1" indent="1"/>
    </xf>
    <xf numFmtId="0" fontId="10" fillId="8" borderId="11" xfId="0" applyFont="1" applyFill="1" applyBorder="1" applyAlignment="1">
      <alignment horizontal="right" vertical="center" wrapText="1" indent="1"/>
    </xf>
    <xf numFmtId="0" fontId="10" fillId="8" borderId="9" xfId="0" applyFont="1" applyFill="1" applyBorder="1" applyAlignment="1">
      <alignment horizontal="left" vertical="center" wrapText="1" indent="1"/>
    </xf>
    <xf numFmtId="0" fontId="10" fillId="8" borderId="10" xfId="0" applyFont="1" applyFill="1" applyBorder="1" applyAlignment="1">
      <alignment horizontal="left" vertical="center" wrapText="1" indent="1"/>
    </xf>
    <xf numFmtId="0" fontId="10" fillId="8" borderId="11" xfId="0" applyFont="1" applyFill="1" applyBorder="1" applyAlignment="1">
      <alignment horizontal="left" vertical="center" wrapText="1" indent="1"/>
    </xf>
    <xf numFmtId="0" fontId="5" fillId="8" borderId="9" xfId="6" applyFill="1" applyBorder="1" applyAlignment="1">
      <alignment horizontal="left" vertical="center" wrapText="1" indent="1"/>
    </xf>
    <xf numFmtId="0" fontId="5" fillId="8" borderId="10" xfId="6" applyFill="1" applyBorder="1" applyAlignment="1">
      <alignment horizontal="left" vertical="center" wrapText="1" indent="1"/>
    </xf>
    <xf numFmtId="0" fontId="5" fillId="8" borderId="11" xfId="6" applyFill="1" applyBorder="1" applyAlignment="1">
      <alignment horizontal="left" vertical="center" wrapText="1" indent="1"/>
    </xf>
    <xf numFmtId="0" fontId="5" fillId="8" borderId="9" xfId="6" applyFill="1" applyBorder="1" applyAlignment="1">
      <alignment horizontal="right" vertical="center" wrapText="1" indent="1"/>
    </xf>
    <xf numFmtId="0" fontId="5" fillId="8" borderId="10" xfId="6" applyFill="1" applyBorder="1" applyAlignment="1">
      <alignment horizontal="right" vertical="center" wrapText="1" indent="1"/>
    </xf>
    <xf numFmtId="0" fontId="5" fillId="8" borderId="11" xfId="6" applyFill="1" applyBorder="1" applyAlignment="1">
      <alignment horizontal="right" vertical="center" wrapText="1" indent="1"/>
    </xf>
    <xf numFmtId="0" fontId="5" fillId="8" borderId="9" xfId="6" applyFill="1" applyBorder="1" applyAlignment="1">
      <alignment vertical="center" wrapText="1"/>
    </xf>
    <xf numFmtId="0" fontId="5" fillId="8" borderId="10" xfId="6" applyFill="1" applyBorder="1" applyAlignment="1">
      <alignment vertical="center" wrapText="1"/>
    </xf>
    <xf numFmtId="0" fontId="5" fillId="8" borderId="11" xfId="6" applyFill="1" applyBorder="1" applyAlignment="1">
      <alignment vertical="center" wrapText="1"/>
    </xf>
    <xf numFmtId="0" fontId="10" fillId="8" borderId="9" xfId="0" applyFont="1" applyFill="1" applyBorder="1" applyAlignment="1">
      <alignment vertical="center" wrapText="1"/>
    </xf>
    <xf numFmtId="0" fontId="10" fillId="8" borderId="10" xfId="0" applyFont="1" applyFill="1" applyBorder="1" applyAlignment="1">
      <alignment vertical="center" wrapText="1"/>
    </xf>
    <xf numFmtId="0" fontId="10" fillId="8" borderId="11" xfId="0" applyFont="1" applyFill="1" applyBorder="1" applyAlignment="1">
      <alignment vertical="center" wrapText="1"/>
    </xf>
    <xf numFmtId="43" fontId="0" fillId="0" borderId="0" xfId="4" applyFont="1"/>
    <xf numFmtId="43" fontId="0" fillId="8" borderId="6" xfId="4" applyFont="1" applyFill="1" applyBorder="1" applyAlignment="1">
      <alignment horizontal="center" vertical="center" wrapText="1"/>
    </xf>
    <xf numFmtId="43" fontId="0" fillId="8" borderId="0" xfId="4" applyFont="1" applyFill="1" applyAlignment="1">
      <alignment horizontal="center" vertical="center" wrapText="1"/>
    </xf>
    <xf numFmtId="0" fontId="0" fillId="0" borderId="0" xfId="0" applyNumberFormat="1"/>
    <xf numFmtId="0" fontId="5" fillId="8" borderId="9" xfId="6" applyFill="1" applyBorder="1" applyAlignment="1">
      <alignment horizontal="right" vertical="center" wrapText="1" indent="1"/>
    </xf>
    <xf numFmtId="0" fontId="10" fillId="8" borderId="10" xfId="0" applyFont="1" applyFill="1" applyBorder="1" applyAlignment="1">
      <alignment horizontal="right" vertical="center" wrapText="1" indent="1"/>
    </xf>
    <xf numFmtId="0" fontId="10" fillId="8" borderId="11" xfId="0" applyFont="1" applyFill="1" applyBorder="1" applyAlignment="1">
      <alignment horizontal="right" vertical="center" wrapText="1" indent="1"/>
    </xf>
    <xf numFmtId="43" fontId="0" fillId="8" borderId="6" xfId="4" applyFont="1" applyFill="1" applyBorder="1" applyAlignment="1">
      <alignment horizontal="right" vertical="center" wrapText="1"/>
    </xf>
    <xf numFmtId="43" fontId="0" fillId="8" borderId="0" xfId="4" applyFont="1" applyFill="1" applyBorder="1" applyAlignment="1">
      <alignment horizontal="center" vertical="center" wrapText="1"/>
    </xf>
    <xf numFmtId="0" fontId="5" fillId="8" borderId="6" xfId="6" applyFill="1" applyBorder="1" applyAlignment="1">
      <alignment vertical="center" wrapText="1"/>
    </xf>
    <xf numFmtId="0" fontId="0" fillId="8" borderId="9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5" fillId="8" borderId="6" xfId="6" applyFill="1" applyBorder="1" applyAlignment="1">
      <alignment horizontal="left" vertical="center" wrapText="1" indent="1"/>
    </xf>
    <xf numFmtId="0" fontId="0" fillId="8" borderId="10" xfId="0" applyFill="1" applyBorder="1" applyAlignment="1">
      <alignment horizontal="center" vertical="center"/>
    </xf>
    <xf numFmtId="0" fontId="5" fillId="0" borderId="0" xfId="6" applyAlignment="1">
      <alignment horizontal="center"/>
    </xf>
    <xf numFmtId="0" fontId="12" fillId="9" borderId="12" xfId="0" applyFont="1" applyFill="1" applyBorder="1" applyAlignment="1">
      <alignment horizontal="center" vertical="center" wrapText="1"/>
    </xf>
    <xf numFmtId="0" fontId="11" fillId="8" borderId="12" xfId="0" applyFont="1" applyFill="1" applyBorder="1" applyAlignment="1">
      <alignment horizontal="center" vertical="center" wrapText="1"/>
    </xf>
    <xf numFmtId="14" fontId="11" fillId="8" borderId="12" xfId="0" applyNumberFormat="1" applyFont="1" applyFill="1" applyBorder="1" applyAlignment="1">
      <alignment horizontal="right" vertical="center" wrapText="1"/>
    </xf>
    <xf numFmtId="0" fontId="11" fillId="8" borderId="12" xfId="0" applyFont="1" applyFill="1" applyBorder="1" applyAlignment="1">
      <alignment horizontal="right" vertical="center" wrapText="1"/>
    </xf>
    <xf numFmtId="0" fontId="5" fillId="8" borderId="12" xfId="6" applyFill="1" applyBorder="1" applyAlignment="1">
      <alignment horizontal="right" vertical="center" wrapText="1"/>
    </xf>
    <xf numFmtId="0" fontId="13" fillId="8" borderId="12" xfId="0" applyFont="1" applyFill="1" applyBorder="1" applyAlignment="1">
      <alignment horizontal="center" vertical="center" wrapText="1"/>
    </xf>
    <xf numFmtId="0" fontId="5" fillId="10" borderId="12" xfId="6" applyFill="1" applyBorder="1" applyAlignment="1">
      <alignment horizontal="right" vertical="center" wrapText="1"/>
    </xf>
    <xf numFmtId="0" fontId="9" fillId="8" borderId="9" xfId="0" applyFont="1" applyFill="1" applyBorder="1" applyAlignment="1">
      <alignment vertical="center" wrapText="1"/>
    </xf>
    <xf numFmtId="3" fontId="10" fillId="8" borderId="9" xfId="0" applyNumberFormat="1" applyFont="1" applyFill="1" applyBorder="1" applyAlignment="1">
      <alignment vertical="center" wrapText="1"/>
    </xf>
    <xf numFmtId="0" fontId="9" fillId="8" borderId="10" xfId="0" applyFont="1" applyFill="1" applyBorder="1" applyAlignment="1">
      <alignment vertical="center" wrapText="1"/>
    </xf>
    <xf numFmtId="3" fontId="10" fillId="8" borderId="10" xfId="0" applyNumberFormat="1" applyFont="1" applyFill="1" applyBorder="1" applyAlignment="1">
      <alignment vertical="center" wrapText="1"/>
    </xf>
    <xf numFmtId="0" fontId="9" fillId="8" borderId="11" xfId="0" applyFont="1" applyFill="1" applyBorder="1" applyAlignment="1">
      <alignment vertical="center" wrapText="1"/>
    </xf>
    <xf numFmtId="3" fontId="10" fillId="8" borderId="11" xfId="0" applyNumberFormat="1" applyFont="1" applyFill="1" applyBorder="1" applyAlignment="1">
      <alignment vertical="center" wrapText="1"/>
    </xf>
    <xf numFmtId="0" fontId="5" fillId="10" borderId="6" xfId="6" applyFill="1" applyBorder="1" applyAlignment="1">
      <alignment horizontal="center" vertical="center"/>
    </xf>
    <xf numFmtId="0" fontId="0" fillId="0" borderId="5" xfId="0" applyBorder="1"/>
    <xf numFmtId="43" fontId="0" fillId="0" borderId="5" xfId="0" applyNumberFormat="1" applyBorder="1"/>
    <xf numFmtId="9" fontId="0" fillId="0" borderId="5" xfId="0" applyNumberFormat="1" applyBorder="1"/>
    <xf numFmtId="164" fontId="0" fillId="0" borderId="5" xfId="4" applyNumberFormat="1" applyFont="1" applyBorder="1"/>
    <xf numFmtId="0" fontId="0" fillId="6" borderId="5" xfId="0" applyFill="1" applyBorder="1"/>
    <xf numFmtId="165" fontId="0" fillId="0" borderId="5" xfId="5" applyNumberFormat="1" applyFont="1" applyBorder="1"/>
    <xf numFmtId="0" fontId="14" fillId="0" borderId="5" xfId="0" applyFont="1" applyBorder="1" applyAlignment="1">
      <alignment horizontal="center"/>
    </xf>
    <xf numFmtId="0" fontId="5" fillId="0" borderId="0" xfId="6" applyFill="1"/>
    <xf numFmtId="0" fontId="0" fillId="0" borderId="0" xfId="0" applyFill="1" applyBorder="1"/>
    <xf numFmtId="0" fontId="0" fillId="0" borderId="5" xfId="0" applyFill="1" applyBorder="1"/>
    <xf numFmtId="9" fontId="0" fillId="0" borderId="0" xfId="5" applyFont="1"/>
    <xf numFmtId="0" fontId="0" fillId="10" borderId="0" xfId="0" applyFill="1"/>
    <xf numFmtId="0" fontId="0" fillId="0" borderId="0" xfId="0" applyAlignment="1">
      <alignment horizontal="right"/>
    </xf>
    <xf numFmtId="0" fontId="0" fillId="10" borderId="0" xfId="0" applyFill="1" applyAlignment="1">
      <alignment horizontal="center" wrapText="1"/>
    </xf>
    <xf numFmtId="164" fontId="0" fillId="8" borderId="0" xfId="4" applyNumberFormat="1" applyFont="1" applyFill="1" applyBorder="1" applyAlignment="1">
      <alignment horizontal="center" vertical="center"/>
    </xf>
    <xf numFmtId="0" fontId="0" fillId="0" borderId="0" xfId="0" applyAlignment="1"/>
    <xf numFmtId="43" fontId="8" fillId="8" borderId="6" xfId="4" applyFont="1" applyFill="1" applyBorder="1" applyAlignment="1">
      <alignment vertical="center" wrapText="1"/>
    </xf>
    <xf numFmtId="0" fontId="0" fillId="8" borderId="6" xfId="0" applyFill="1" applyBorder="1" applyAlignment="1">
      <alignment vertical="center" wrapText="1"/>
    </xf>
    <xf numFmtId="0" fontId="5" fillId="8" borderId="6" xfId="6" applyFill="1" applyBorder="1" applyAlignment="1">
      <alignment vertical="center" wrapText="1" readingOrder="1"/>
    </xf>
    <xf numFmtId="14" fontId="0" fillId="8" borderId="6" xfId="0" applyNumberFormat="1" applyFill="1" applyBorder="1" applyAlignment="1">
      <alignment vertical="center" wrapText="1"/>
    </xf>
    <xf numFmtId="0" fontId="5" fillId="8" borderId="6" xfId="6" applyFill="1" applyBorder="1" applyAlignment="1">
      <alignment vertical="center" wrapText="1" readingOrder="2"/>
    </xf>
    <xf numFmtId="164" fontId="0" fillId="0" borderId="6" xfId="4" applyNumberFormat="1" applyFont="1" applyBorder="1" applyAlignment="1"/>
    <xf numFmtId="164" fontId="2" fillId="3" borderId="0" xfId="4" applyNumberFormat="1" applyFont="1" applyFill="1" applyBorder="1"/>
    <xf numFmtId="9" fontId="1" fillId="2" borderId="3" xfId="1" applyNumberFormat="1" applyBorder="1"/>
    <xf numFmtId="0" fontId="11" fillId="8" borderId="12" xfId="0" applyFont="1" applyFill="1" applyBorder="1" applyAlignment="1">
      <alignment horizontal="right" vertical="center"/>
    </xf>
    <xf numFmtId="0" fontId="0" fillId="0" borderId="0" xfId="0" applyFill="1" applyAlignment="1"/>
    <xf numFmtId="43" fontId="8" fillId="8" borderId="0" xfId="4" applyFont="1" applyFill="1" applyBorder="1" applyAlignment="1">
      <alignment vertical="center" wrapText="1"/>
    </xf>
    <xf numFmtId="0" fontId="0" fillId="8" borderId="0" xfId="0" applyFill="1" applyBorder="1" applyAlignment="1">
      <alignment vertical="center" wrapText="1"/>
    </xf>
    <xf numFmtId="0" fontId="5" fillId="8" borderId="0" xfId="6" applyFill="1" applyBorder="1" applyAlignment="1">
      <alignment vertical="center" wrapText="1" readingOrder="2"/>
    </xf>
    <xf numFmtId="14" fontId="0" fillId="8" borderId="0" xfId="0" applyNumberFormat="1" applyFill="1" applyBorder="1" applyAlignment="1">
      <alignment vertical="center" wrapText="1"/>
    </xf>
    <xf numFmtId="0" fontId="5" fillId="8" borderId="0" xfId="6" applyFill="1" applyBorder="1" applyAlignment="1">
      <alignment vertical="center" wrapText="1" readingOrder="1"/>
    </xf>
    <xf numFmtId="0" fontId="11" fillId="8" borderId="12" xfId="0" applyFont="1" applyFill="1" applyBorder="1" applyAlignment="1">
      <alignment vertical="center" wrapText="1"/>
    </xf>
    <xf numFmtId="0" fontId="5" fillId="8" borderId="12" xfId="6" applyFill="1" applyBorder="1" applyAlignment="1">
      <alignment vertical="center" wrapText="1" readingOrder="2"/>
    </xf>
    <xf numFmtId="0" fontId="11" fillId="8" borderId="12" xfId="0" applyFont="1" applyFill="1" applyBorder="1" applyAlignment="1">
      <alignment vertical="center"/>
    </xf>
    <xf numFmtId="3" fontId="12" fillId="8" borderId="12" xfId="0" applyNumberFormat="1" applyFont="1" applyFill="1" applyBorder="1" applyAlignment="1">
      <alignment vertical="center" wrapText="1"/>
    </xf>
    <xf numFmtId="0" fontId="5" fillId="8" borderId="12" xfId="6" applyFill="1" applyBorder="1" applyAlignment="1">
      <alignment vertical="center" wrapText="1" readingOrder="1"/>
    </xf>
    <xf numFmtId="14" fontId="11" fillId="8" borderId="12" xfId="0" applyNumberFormat="1" applyFont="1" applyFill="1" applyBorder="1" applyAlignment="1">
      <alignment vertical="center" wrapText="1"/>
    </xf>
    <xf numFmtId="0" fontId="11" fillId="8" borderId="6" xfId="0" applyFont="1" applyFill="1" applyBorder="1" applyAlignment="1">
      <alignment vertical="center" wrapText="1"/>
    </xf>
    <xf numFmtId="43" fontId="8" fillId="8" borderId="12" xfId="4" applyFont="1" applyFill="1" applyBorder="1" applyAlignment="1">
      <alignment vertical="center" wrapText="1"/>
    </xf>
    <xf numFmtId="3" fontId="12" fillId="8" borderId="6" xfId="0" applyNumberFormat="1" applyFont="1" applyFill="1" applyBorder="1" applyAlignment="1">
      <alignment vertical="center" wrapText="1"/>
    </xf>
    <xf numFmtId="0" fontId="0" fillId="8" borderId="12" xfId="0" applyFill="1" applyBorder="1" applyAlignment="1">
      <alignment vertical="center" wrapText="1"/>
    </xf>
    <xf numFmtId="14" fontId="11" fillId="8" borderId="6" xfId="0" applyNumberFormat="1" applyFont="1" applyFill="1" applyBorder="1" applyAlignment="1">
      <alignment vertical="center" wrapText="1"/>
    </xf>
    <xf numFmtId="0" fontId="11" fillId="8" borderId="6" xfId="0" applyFont="1" applyFill="1" applyBorder="1" applyAlignment="1">
      <alignment vertical="center"/>
    </xf>
    <xf numFmtId="14" fontId="0" fillId="8" borderId="12" xfId="0" applyNumberFormat="1" applyFill="1" applyBorder="1" applyAlignment="1">
      <alignment vertical="center" wrapText="1"/>
    </xf>
    <xf numFmtId="0" fontId="0" fillId="8" borderId="6" xfId="0" applyFill="1" applyBorder="1" applyAlignment="1"/>
    <xf numFmtId="0" fontId="0" fillId="0" borderId="0" xfId="0" applyFill="1" applyBorder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8" borderId="12" xfId="0" applyFill="1" applyBorder="1" applyAlignment="1">
      <alignment horizontal="center" vertical="center"/>
    </xf>
    <xf numFmtId="0" fontId="5" fillId="8" borderId="12" xfId="6" applyFill="1" applyBorder="1" applyAlignment="1">
      <alignment vertical="center" wrapText="1"/>
    </xf>
    <xf numFmtId="0" fontId="11" fillId="8" borderId="0" xfId="0" applyFont="1" applyFill="1" applyBorder="1" applyAlignment="1">
      <alignment vertical="center"/>
    </xf>
    <xf numFmtId="14" fontId="0" fillId="0" borderId="0" xfId="0" applyNumberFormat="1"/>
    <xf numFmtId="0" fontId="5" fillId="8" borderId="12" xfId="6" applyFill="1" applyBorder="1" applyAlignment="1">
      <alignment horizontal="center" vertical="center" wrapText="1" readingOrder="1"/>
    </xf>
    <xf numFmtId="0" fontId="5" fillId="8" borderId="12" xfId="6" applyFill="1" applyBorder="1" applyAlignment="1">
      <alignment horizontal="center" vertical="center" wrapText="1" readingOrder="2"/>
    </xf>
    <xf numFmtId="3" fontId="12" fillId="8" borderId="12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1" fillId="8" borderId="12" xfId="0" applyFont="1" applyFill="1" applyBorder="1" applyAlignment="1">
      <alignment horizontal="center" vertical="center"/>
    </xf>
    <xf numFmtId="14" fontId="11" fillId="8" borderId="12" xfId="0" applyNumberFormat="1" applyFont="1" applyFill="1" applyBorder="1" applyAlignment="1">
      <alignment horizontal="center" vertical="center" wrapText="1"/>
    </xf>
    <xf numFmtId="0" fontId="11" fillId="8" borderId="6" xfId="0" applyNumberFormat="1" applyFont="1" applyFill="1" applyBorder="1" applyAlignment="1">
      <alignment vertical="center" wrapText="1"/>
    </xf>
    <xf numFmtId="0" fontId="0" fillId="0" borderId="0" xfId="0" pivotButton="1"/>
    <xf numFmtId="0" fontId="3" fillId="11" borderId="13" xfId="0" applyFont="1" applyFill="1" applyBorder="1"/>
    <xf numFmtId="0" fontId="3" fillId="11" borderId="0" xfId="0" applyFont="1" applyFill="1" applyBorder="1"/>
    <xf numFmtId="0" fontId="0" fillId="0" borderId="0" xfId="0" applyFont="1" applyAlignment="1">
      <alignment horizontal="right"/>
    </xf>
    <xf numFmtId="0" fontId="8" fillId="0" borderId="14" xfId="0" applyFont="1" applyBorder="1" applyAlignment="1">
      <alignment horizontal="right"/>
    </xf>
    <xf numFmtId="164" fontId="0" fillId="0" borderId="0" xfId="0" applyNumberFormat="1" applyFont="1"/>
    <xf numFmtId="164" fontId="8" fillId="0" borderId="14" xfId="0" applyNumberFormat="1" applyFont="1" applyBorder="1"/>
    <xf numFmtId="0" fontId="0" fillId="0" borderId="0" xfId="4" applyNumberFormat="1" applyFont="1" applyAlignment="1">
      <alignment horizontal="center"/>
    </xf>
    <xf numFmtId="2" fontId="0" fillId="0" borderId="0" xfId="4" applyNumberFormat="1" applyFont="1" applyAlignment="1">
      <alignment horizontal="center"/>
    </xf>
    <xf numFmtId="0" fontId="3" fillId="11" borderId="0" xfId="0" applyFont="1" applyFill="1" applyAlignment="1">
      <alignment wrapText="1"/>
    </xf>
    <xf numFmtId="0" fontId="3" fillId="11" borderId="0" xfId="0" applyFont="1" applyFill="1" applyBorder="1" applyAlignment="1">
      <alignment wrapText="1"/>
    </xf>
    <xf numFmtId="0" fontId="0" fillId="0" borderId="0" xfId="0" applyAlignment="1">
      <alignment horizontal="right" readingOrder="2"/>
    </xf>
    <xf numFmtId="0" fontId="0" fillId="0" borderId="3" xfId="0" applyBorder="1"/>
    <xf numFmtId="164" fontId="2" fillId="3" borderId="3" xfId="4" applyNumberFormat="1" applyFont="1" applyFill="1" applyBorder="1"/>
    <xf numFmtId="0" fontId="0" fillId="0" borderId="1" xfId="0" applyBorder="1"/>
    <xf numFmtId="0" fontId="0" fillId="0" borderId="23" xfId="0" applyBorder="1"/>
    <xf numFmtId="0" fontId="16" fillId="11" borderId="24" xfId="0" applyFont="1" applyFill="1" applyBorder="1" applyAlignment="1">
      <alignment horizontal="center" vertical="center"/>
    </xf>
    <xf numFmtId="0" fontId="16" fillId="11" borderId="25" xfId="0" applyFont="1" applyFill="1" applyBorder="1" applyAlignment="1">
      <alignment horizontal="center" vertical="center"/>
    </xf>
    <xf numFmtId="0" fontId="16" fillId="11" borderId="26" xfId="0" applyFont="1" applyFill="1" applyBorder="1" applyAlignment="1">
      <alignment horizontal="center" vertical="center"/>
    </xf>
    <xf numFmtId="0" fontId="16" fillId="11" borderId="24" xfId="0" applyFont="1" applyFill="1" applyBorder="1" applyAlignment="1">
      <alignment horizontal="center" vertical="center" wrapText="1"/>
    </xf>
    <xf numFmtId="0" fontId="16" fillId="11" borderId="4" xfId="0" applyFont="1" applyFill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12" borderId="28" xfId="0" applyFont="1" applyFill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15" fillId="0" borderId="30" xfId="0" applyFont="1" applyBorder="1" applyAlignment="1">
      <alignment horizontal="center"/>
    </xf>
    <xf numFmtId="0" fontId="15" fillId="12" borderId="18" xfId="0" applyFont="1" applyFill="1" applyBorder="1" applyAlignment="1">
      <alignment horizontal="center"/>
    </xf>
    <xf numFmtId="0" fontId="15" fillId="12" borderId="6" xfId="0" applyFont="1" applyFill="1" applyBorder="1" applyAlignment="1">
      <alignment horizontal="center"/>
    </xf>
    <xf numFmtId="0" fontId="15" fillId="12" borderId="19" xfId="0" applyFont="1" applyFill="1" applyBorder="1" applyAlignment="1">
      <alignment horizontal="center"/>
    </xf>
    <xf numFmtId="0" fontId="15" fillId="12" borderId="31" xfId="0" applyFont="1" applyFill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31" xfId="0" applyFont="1" applyBorder="1" applyAlignment="1">
      <alignment horizontal="center"/>
    </xf>
    <xf numFmtId="0" fontId="15" fillId="0" borderId="20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5" fillId="0" borderId="32" xfId="0" applyFont="1" applyBorder="1" applyAlignment="1">
      <alignment horizontal="center"/>
    </xf>
    <xf numFmtId="3" fontId="15" fillId="0" borderId="15" xfId="0" applyNumberFormat="1" applyFont="1" applyBorder="1" applyAlignment="1">
      <alignment horizontal="center"/>
    </xf>
    <xf numFmtId="3" fontId="15" fillId="12" borderId="18" xfId="0" applyNumberFormat="1" applyFont="1" applyFill="1" applyBorder="1" applyAlignment="1">
      <alignment horizontal="center"/>
    </xf>
    <xf numFmtId="3" fontId="15" fillId="0" borderId="18" xfId="0" applyNumberFormat="1" applyFont="1" applyBorder="1" applyAlignment="1">
      <alignment horizontal="center"/>
    </xf>
    <xf numFmtId="3" fontId="15" fillId="0" borderId="20" xfId="0" applyNumberFormat="1" applyFont="1" applyBorder="1" applyAlignment="1">
      <alignment horizontal="center"/>
    </xf>
    <xf numFmtId="0" fontId="15" fillId="0" borderId="19" xfId="0" applyFont="1" applyBorder="1" applyAlignment="1">
      <alignment horizontal="center" wrapText="1"/>
    </xf>
    <xf numFmtId="0" fontId="15" fillId="12" borderId="19" xfId="0" applyFont="1" applyFill="1" applyBorder="1" applyAlignment="1">
      <alignment horizontal="center" wrapText="1"/>
    </xf>
    <xf numFmtId="0" fontId="16" fillId="11" borderId="26" xfId="0" applyFont="1" applyFill="1" applyBorder="1" applyAlignment="1">
      <alignment horizontal="center" vertical="center" wrapText="1"/>
    </xf>
    <xf numFmtId="164" fontId="11" fillId="8" borderId="6" xfId="4" applyNumberFormat="1" applyFont="1" applyFill="1" applyBorder="1" applyAlignment="1">
      <alignment vertical="center" wrapText="1"/>
    </xf>
    <xf numFmtId="164" fontId="0" fillId="0" borderId="0" xfId="4" applyNumberFormat="1" applyFont="1" applyBorder="1" applyAlignment="1"/>
    <xf numFmtId="164" fontId="0" fillId="0" borderId="0" xfId="4" applyNumberFormat="1" applyFont="1" applyAlignment="1"/>
    <xf numFmtId="164" fontId="0" fillId="8" borderId="0" xfId="4" applyNumberFormat="1" applyFont="1" applyFill="1" applyBorder="1" applyAlignment="1">
      <alignment vertical="center" wrapText="1"/>
    </xf>
    <xf numFmtId="164" fontId="11" fillId="8" borderId="0" xfId="4" applyNumberFormat="1" applyFont="1" applyFill="1" applyBorder="1" applyAlignment="1">
      <alignment vertical="center" wrapText="1"/>
    </xf>
    <xf numFmtId="164" fontId="0" fillId="8" borderId="0" xfId="4" applyNumberFormat="1" applyFont="1" applyFill="1" applyAlignment="1">
      <alignment vertical="center" wrapText="1"/>
    </xf>
    <xf numFmtId="164" fontId="0" fillId="0" borderId="12" xfId="4" applyNumberFormat="1" applyFont="1" applyBorder="1" applyAlignment="1"/>
    <xf numFmtId="164" fontId="11" fillId="8" borderId="12" xfId="4" applyNumberFormat="1" applyFont="1" applyFill="1" applyBorder="1" applyAlignment="1">
      <alignment vertical="center" wrapText="1"/>
    </xf>
    <xf numFmtId="164" fontId="0" fillId="8" borderId="12" xfId="4" applyNumberFormat="1" applyFont="1" applyFill="1" applyBorder="1" applyAlignment="1">
      <alignment vertical="center" wrapText="1"/>
    </xf>
    <xf numFmtId="164" fontId="11" fillId="8" borderId="12" xfId="4" applyNumberFormat="1" applyFont="1" applyFill="1" applyBorder="1" applyAlignment="1">
      <alignment horizontal="center" vertical="center" wrapText="1"/>
    </xf>
    <xf numFmtId="164" fontId="11" fillId="8" borderId="12" xfId="4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 wrapText="1"/>
    </xf>
    <xf numFmtId="0" fontId="8" fillId="14" borderId="18" xfId="0" applyFont="1" applyFill="1" applyBorder="1"/>
    <xf numFmtId="164" fontId="8" fillId="15" borderId="17" xfId="4" applyNumberFormat="1" applyFont="1" applyFill="1" applyBorder="1" applyAlignment="1">
      <alignment horizontal="center"/>
    </xf>
    <xf numFmtId="0" fontId="8" fillId="14" borderId="15" xfId="0" applyFont="1" applyFill="1" applyBorder="1"/>
    <xf numFmtId="164" fontId="8" fillId="15" borderId="19" xfId="4" applyNumberFormat="1" applyFont="1" applyFill="1" applyBorder="1" applyAlignment="1">
      <alignment horizontal="center"/>
    </xf>
    <xf numFmtId="166" fontId="8" fillId="15" borderId="19" xfId="4" applyNumberFormat="1" applyFont="1" applyFill="1" applyBorder="1"/>
    <xf numFmtId="0" fontId="17" fillId="13" borderId="33" xfId="0" applyFont="1" applyFill="1" applyBorder="1" applyAlignment="1">
      <alignment horizontal="center" vertical="center"/>
    </xf>
    <xf numFmtId="0" fontId="17" fillId="13" borderId="34" xfId="0" applyFont="1" applyFill="1" applyBorder="1" applyAlignment="1">
      <alignment horizontal="center" vertical="center"/>
    </xf>
    <xf numFmtId="0" fontId="9" fillId="8" borderId="9" xfId="0" applyFont="1" applyFill="1" applyBorder="1" applyAlignment="1">
      <alignment horizontal="left" vertical="center" wrapText="1" indent="1"/>
    </xf>
    <xf numFmtId="0" fontId="9" fillId="8" borderId="10" xfId="0" applyFont="1" applyFill="1" applyBorder="1" applyAlignment="1">
      <alignment horizontal="left" vertical="center" wrapText="1" indent="1"/>
    </xf>
    <xf numFmtId="0" fontId="9" fillId="8" borderId="11" xfId="0" applyFont="1" applyFill="1" applyBorder="1" applyAlignment="1">
      <alignment horizontal="left" vertical="center" wrapText="1" indent="1"/>
    </xf>
    <xf numFmtId="0" fontId="10" fillId="8" borderId="9" xfId="0" applyFont="1" applyFill="1" applyBorder="1" applyAlignment="1">
      <alignment horizontal="right" vertical="center" wrapText="1" indent="1"/>
    </xf>
    <xf numFmtId="0" fontId="10" fillId="8" borderId="10" xfId="0" applyFont="1" applyFill="1" applyBorder="1" applyAlignment="1">
      <alignment horizontal="right" vertical="center" wrapText="1" indent="1"/>
    </xf>
    <xf numFmtId="0" fontId="10" fillId="8" borderId="11" xfId="0" applyFont="1" applyFill="1" applyBorder="1" applyAlignment="1">
      <alignment horizontal="right" vertical="center" wrapText="1" indent="1"/>
    </xf>
    <xf numFmtId="0" fontId="10" fillId="8" borderId="9" xfId="0" applyFont="1" applyFill="1" applyBorder="1" applyAlignment="1">
      <alignment horizontal="left" vertical="center" wrapText="1" indent="1"/>
    </xf>
    <xf numFmtId="0" fontId="10" fillId="8" borderId="10" xfId="0" applyFont="1" applyFill="1" applyBorder="1" applyAlignment="1">
      <alignment horizontal="left" vertical="center" wrapText="1" indent="1"/>
    </xf>
    <xf numFmtId="0" fontId="10" fillId="8" borderId="11" xfId="0" applyFont="1" applyFill="1" applyBorder="1" applyAlignment="1">
      <alignment horizontal="left" vertical="center" wrapText="1" indent="1"/>
    </xf>
    <xf numFmtId="3" fontId="10" fillId="8" borderId="9" xfId="0" applyNumberFormat="1" applyFont="1" applyFill="1" applyBorder="1" applyAlignment="1">
      <alignment horizontal="right" vertical="center" wrapText="1" indent="1"/>
    </xf>
    <xf numFmtId="3" fontId="10" fillId="8" borderId="10" xfId="0" applyNumberFormat="1" applyFont="1" applyFill="1" applyBorder="1" applyAlignment="1">
      <alignment horizontal="right" vertical="center" wrapText="1" indent="1"/>
    </xf>
    <xf numFmtId="3" fontId="10" fillId="8" borderId="11" xfId="0" applyNumberFormat="1" applyFont="1" applyFill="1" applyBorder="1" applyAlignment="1">
      <alignment horizontal="right" vertical="center" wrapText="1" indent="1"/>
    </xf>
    <xf numFmtId="0" fontId="5" fillId="8" borderId="9" xfId="6" applyFill="1" applyBorder="1" applyAlignment="1">
      <alignment horizontal="left" vertical="center" wrapText="1" indent="1"/>
    </xf>
    <xf numFmtId="0" fontId="5" fillId="8" borderId="10" xfId="6" applyFill="1" applyBorder="1" applyAlignment="1">
      <alignment horizontal="left" vertical="center" wrapText="1" indent="1"/>
    </xf>
    <xf numFmtId="0" fontId="5" fillId="8" borderId="11" xfId="6" applyFill="1" applyBorder="1" applyAlignment="1">
      <alignment horizontal="left" vertical="center" wrapText="1" indent="1"/>
    </xf>
    <xf numFmtId="0" fontId="5" fillId="8" borderId="9" xfId="6" applyFill="1" applyBorder="1" applyAlignment="1">
      <alignment horizontal="right" vertical="center" wrapText="1" indent="1"/>
    </xf>
    <xf numFmtId="0" fontId="5" fillId="8" borderId="10" xfId="6" applyFill="1" applyBorder="1" applyAlignment="1">
      <alignment horizontal="right" vertical="center" wrapText="1" indent="1"/>
    </xf>
    <xf numFmtId="0" fontId="5" fillId="8" borderId="11" xfId="6" applyFill="1" applyBorder="1" applyAlignment="1">
      <alignment horizontal="right" vertical="center" wrapText="1" indent="1"/>
    </xf>
  </cellXfs>
  <cellStyles count="7">
    <cellStyle name="Calculation" xfId="2" builtinId="22"/>
    <cellStyle name="Check Cell" xfId="3" builtinId="23"/>
    <cellStyle name="Comma" xfId="4" builtinId="3"/>
    <cellStyle name="Hyperlink" xfId="6" builtinId="8"/>
    <cellStyle name="Input" xfId="1" builtinId="20"/>
    <cellStyle name="Normal" xfId="0" builtinId="0"/>
    <cellStyle name="Percent" xfId="5" builtinId="5"/>
  </cellStyles>
  <dxfs count="41"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numFmt numFmtId="164" formatCode="_(* #,##0_);_(* \(#,##0\);_(* &quot;-&quot;??_);_(@_)"/>
    </dxf>
    <dxf>
      <alignment wrapText="1" readingOrder="0"/>
    </dxf>
    <dxf>
      <numFmt numFmtId="164" formatCode="_(* #,##0_);_(* \(#,##0\);_(* &quot;-&quot;??_);_(@_)"/>
    </dxf>
    <dxf>
      <numFmt numFmtId="164" formatCode="_(* #,##0_);_(* \(#,##0\);_(* &quot;-&quot;??_);_(@_)"/>
    </dxf>
    <dxf>
      <alignment wrapText="1" readingOrder="0"/>
    </dxf>
    <dxf>
      <numFmt numFmtId="164" formatCode="_(* #,##0_);_(* \(#,##0\);_(* &quot;-&quot;??_);_(@_)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_rels/activeX106.xml.rels><?xml version="1.0" encoding="UTF-8" standalone="yes"?>
<Relationships xmlns="http://schemas.openxmlformats.org/package/2006/relationships"><Relationship Id="rId1" Type="http://schemas.microsoft.com/office/2006/relationships/activeXControlBinary" Target="activeX106.bin"/></Relationships>
</file>

<file path=xl/activeX/_rels/activeX107.xml.rels><?xml version="1.0" encoding="UTF-8" standalone="yes"?>
<Relationships xmlns="http://schemas.openxmlformats.org/package/2006/relationships"><Relationship Id="rId1" Type="http://schemas.microsoft.com/office/2006/relationships/activeXControlBinary" Target="activeX107.bin"/></Relationships>
</file>

<file path=xl/activeX/_rels/activeX108.xml.rels><?xml version="1.0" encoding="UTF-8" standalone="yes"?>
<Relationships xmlns="http://schemas.openxmlformats.org/package/2006/relationships"><Relationship Id="rId1" Type="http://schemas.microsoft.com/office/2006/relationships/activeXControlBinary" Target="activeX108.bin"/></Relationships>
</file>

<file path=xl/activeX/_rels/activeX109.xml.rels><?xml version="1.0" encoding="UTF-8" standalone="yes"?>
<Relationships xmlns="http://schemas.openxmlformats.org/package/2006/relationships"><Relationship Id="rId1" Type="http://schemas.microsoft.com/office/2006/relationships/activeXControlBinary" Target="activeX109.bin"/></Relationships>
</file>

<file path=xl/activeX/_rels/activeX110.xml.rels><?xml version="1.0" encoding="UTF-8" standalone="yes"?>
<Relationships xmlns="http://schemas.openxmlformats.org/package/2006/relationships"><Relationship Id="rId1" Type="http://schemas.microsoft.com/office/2006/relationships/activeXControlBinary" Target="activeX110.bin"/></Relationships>
</file>

<file path=xl/activeX/_rels/activeX111.xml.rels><?xml version="1.0" encoding="UTF-8" standalone="yes"?>
<Relationships xmlns="http://schemas.openxmlformats.org/package/2006/relationships"><Relationship Id="rId1" Type="http://schemas.microsoft.com/office/2006/relationships/activeXControlBinary" Target="activeX111.bin"/></Relationships>
</file>

<file path=xl/activeX/_rels/activeX112.xml.rels><?xml version="1.0" encoding="UTF-8" standalone="yes"?>
<Relationships xmlns="http://schemas.openxmlformats.org/package/2006/relationships"><Relationship Id="rId1" Type="http://schemas.microsoft.com/office/2006/relationships/activeXControlBinary" Target="activeX112.bin"/></Relationships>
</file>

<file path=xl/activeX/_rels/activeX113.xml.rels><?xml version="1.0" encoding="UTF-8" standalone="yes"?>
<Relationships xmlns="http://schemas.openxmlformats.org/package/2006/relationships"><Relationship Id="rId1" Type="http://schemas.microsoft.com/office/2006/relationships/activeXControlBinary" Target="activeX113.bin"/></Relationships>
</file>

<file path=xl/activeX/_rels/activeX114.xml.rels><?xml version="1.0" encoding="UTF-8" standalone="yes"?>
<Relationships xmlns="http://schemas.openxmlformats.org/package/2006/relationships"><Relationship Id="rId1" Type="http://schemas.microsoft.com/office/2006/relationships/activeXControlBinary" Target="activeX114.bin"/></Relationships>
</file>

<file path=xl/activeX/_rels/activeX115.xml.rels><?xml version="1.0" encoding="UTF-8" standalone="yes"?>
<Relationships xmlns="http://schemas.openxmlformats.org/package/2006/relationships"><Relationship Id="rId1" Type="http://schemas.microsoft.com/office/2006/relationships/activeXControlBinary" Target="activeX115.bin"/></Relationships>
</file>

<file path=xl/activeX/_rels/activeX116.xml.rels><?xml version="1.0" encoding="UTF-8" standalone="yes"?>
<Relationships xmlns="http://schemas.openxmlformats.org/package/2006/relationships"><Relationship Id="rId1" Type="http://schemas.microsoft.com/office/2006/relationships/activeXControlBinary" Target="activeX116.bin"/></Relationships>
</file>

<file path=xl/activeX/_rels/activeX117.xml.rels><?xml version="1.0" encoding="UTF-8" standalone="yes"?>
<Relationships xmlns="http://schemas.openxmlformats.org/package/2006/relationships"><Relationship Id="rId1" Type="http://schemas.microsoft.com/office/2006/relationships/activeXControlBinary" Target="activeX117.bin"/></Relationships>
</file>

<file path=xl/activeX/_rels/activeX118.xml.rels><?xml version="1.0" encoding="UTF-8" standalone="yes"?>
<Relationships xmlns="http://schemas.openxmlformats.org/package/2006/relationships"><Relationship Id="rId1" Type="http://schemas.microsoft.com/office/2006/relationships/activeXControlBinary" Target="activeX118.bin"/></Relationships>
</file>

<file path=xl/activeX/_rels/activeX119.xml.rels><?xml version="1.0" encoding="UTF-8" standalone="yes"?>
<Relationships xmlns="http://schemas.openxmlformats.org/package/2006/relationships"><Relationship Id="rId1" Type="http://schemas.microsoft.com/office/2006/relationships/activeXControlBinary" Target="activeX119.bin"/></Relationships>
</file>

<file path=xl/activeX/_rels/activeX120.xml.rels><?xml version="1.0" encoding="UTF-8" standalone="yes"?>
<Relationships xmlns="http://schemas.openxmlformats.org/package/2006/relationships"><Relationship Id="rId1" Type="http://schemas.microsoft.com/office/2006/relationships/activeXControlBinary" Target="activeX120.bin"/></Relationships>
</file>

<file path=xl/activeX/_rels/activeX121.xml.rels><?xml version="1.0" encoding="UTF-8" standalone="yes"?>
<Relationships xmlns="http://schemas.openxmlformats.org/package/2006/relationships"><Relationship Id="rId1" Type="http://schemas.microsoft.com/office/2006/relationships/activeXControlBinary" Target="activeX121.bin"/></Relationships>
</file>

<file path=xl/activeX/_rels/activeX122.xml.rels><?xml version="1.0" encoding="UTF-8" standalone="yes"?>
<Relationships xmlns="http://schemas.openxmlformats.org/package/2006/relationships"><Relationship Id="rId1" Type="http://schemas.microsoft.com/office/2006/relationships/activeXControlBinary" Target="activeX122.bin"/></Relationships>
</file>

<file path=xl/activeX/_rels/activeX123.xml.rels><?xml version="1.0" encoding="UTF-8" standalone="yes"?>
<Relationships xmlns="http://schemas.openxmlformats.org/package/2006/relationships"><Relationship Id="rId1" Type="http://schemas.microsoft.com/office/2006/relationships/activeXControlBinary" Target="activeX123.bin"/></Relationships>
</file>

<file path=xl/activeX/_rels/activeX124.xml.rels><?xml version="1.0" encoding="UTF-8" standalone="yes"?>
<Relationships xmlns="http://schemas.openxmlformats.org/package/2006/relationships"><Relationship Id="rId1" Type="http://schemas.microsoft.com/office/2006/relationships/activeXControlBinary" Target="activeX124.bin"/></Relationships>
</file>

<file path=xl/activeX/_rels/activeX125.xml.rels><?xml version="1.0" encoding="UTF-8" standalone="yes"?>
<Relationships xmlns="http://schemas.openxmlformats.org/package/2006/relationships"><Relationship Id="rId1" Type="http://schemas.microsoft.com/office/2006/relationships/activeXControlBinary" Target="activeX125.bin"/></Relationships>
</file>

<file path=xl/activeX/_rels/activeX126.xml.rels><?xml version="1.0" encoding="UTF-8" standalone="yes"?>
<Relationships xmlns="http://schemas.openxmlformats.org/package/2006/relationships"><Relationship Id="rId1" Type="http://schemas.microsoft.com/office/2006/relationships/activeXControlBinary" Target="activeX126.bin"/></Relationships>
</file>

<file path=xl/activeX/_rels/activeX127.xml.rels><?xml version="1.0" encoding="UTF-8" standalone="yes"?>
<Relationships xmlns="http://schemas.openxmlformats.org/package/2006/relationships"><Relationship Id="rId1" Type="http://schemas.microsoft.com/office/2006/relationships/activeXControlBinary" Target="activeX127.bin"/></Relationships>
</file>

<file path=xl/activeX/_rels/activeX128.xml.rels><?xml version="1.0" encoding="UTF-8" standalone="yes"?>
<Relationships xmlns="http://schemas.openxmlformats.org/package/2006/relationships"><Relationship Id="rId1" Type="http://schemas.microsoft.com/office/2006/relationships/activeXControlBinary" Target="activeX128.bin"/></Relationships>
</file>

<file path=xl/activeX/_rels/activeX129.xml.rels><?xml version="1.0" encoding="UTF-8" standalone="yes"?>
<Relationships xmlns="http://schemas.openxmlformats.org/package/2006/relationships"><Relationship Id="rId1" Type="http://schemas.microsoft.com/office/2006/relationships/activeXControlBinary" Target="activeX129.bin"/></Relationships>
</file>

<file path=xl/activeX/_rels/activeX130.xml.rels><?xml version="1.0" encoding="UTF-8" standalone="yes"?>
<Relationships xmlns="http://schemas.openxmlformats.org/package/2006/relationships"><Relationship Id="rId1" Type="http://schemas.microsoft.com/office/2006/relationships/activeXControlBinary" Target="activeX130.bin"/></Relationships>
</file>

<file path=xl/activeX/_rels/activeX131.xml.rels><?xml version="1.0" encoding="UTF-8" standalone="yes"?>
<Relationships xmlns="http://schemas.openxmlformats.org/package/2006/relationships"><Relationship Id="rId1" Type="http://schemas.microsoft.com/office/2006/relationships/activeXControlBinary" Target="activeX131.bin"/></Relationships>
</file>

<file path=xl/activeX/_rels/activeX132.xml.rels><?xml version="1.0" encoding="UTF-8" standalone="yes"?>
<Relationships xmlns="http://schemas.openxmlformats.org/package/2006/relationships"><Relationship Id="rId1" Type="http://schemas.microsoft.com/office/2006/relationships/activeXControlBinary" Target="activeX132.bin"/></Relationships>
</file>

<file path=xl/activeX/_rels/activeX133.xml.rels><?xml version="1.0" encoding="UTF-8" standalone="yes"?>
<Relationships xmlns="http://schemas.openxmlformats.org/package/2006/relationships"><Relationship Id="rId1" Type="http://schemas.microsoft.com/office/2006/relationships/activeXControlBinary" Target="activeX133.bin"/></Relationships>
</file>

<file path=xl/activeX/_rels/activeX134.xml.rels><?xml version="1.0" encoding="UTF-8" standalone="yes"?>
<Relationships xmlns="http://schemas.openxmlformats.org/package/2006/relationships"><Relationship Id="rId1" Type="http://schemas.microsoft.com/office/2006/relationships/activeXControlBinary" Target="activeX134.bin"/></Relationships>
</file>

<file path=xl/activeX/_rels/activeX135.xml.rels><?xml version="1.0" encoding="UTF-8" standalone="yes"?>
<Relationships xmlns="http://schemas.openxmlformats.org/package/2006/relationships"><Relationship Id="rId1" Type="http://schemas.microsoft.com/office/2006/relationships/activeXControlBinary" Target="activeX135.bin"/></Relationships>
</file>

<file path=xl/activeX/_rels/activeX136.xml.rels><?xml version="1.0" encoding="UTF-8" standalone="yes"?>
<Relationships xmlns="http://schemas.openxmlformats.org/package/2006/relationships"><Relationship Id="rId1" Type="http://schemas.microsoft.com/office/2006/relationships/activeXControlBinary" Target="activeX136.bin"/></Relationships>
</file>

<file path=xl/activeX/_rels/activeX137.xml.rels><?xml version="1.0" encoding="UTF-8" standalone="yes"?>
<Relationships xmlns="http://schemas.openxmlformats.org/package/2006/relationships"><Relationship Id="rId1" Type="http://schemas.microsoft.com/office/2006/relationships/activeXControlBinary" Target="activeX137.bin"/></Relationships>
</file>

<file path=xl/activeX/_rels/activeX138.xml.rels><?xml version="1.0" encoding="UTF-8" standalone="yes"?>
<Relationships xmlns="http://schemas.openxmlformats.org/package/2006/relationships"><Relationship Id="rId1" Type="http://schemas.microsoft.com/office/2006/relationships/activeXControlBinary" Target="activeX138.bin"/></Relationships>
</file>

<file path=xl/activeX/_rels/activeX139.xml.rels><?xml version="1.0" encoding="UTF-8" standalone="yes"?>
<Relationships xmlns="http://schemas.openxmlformats.org/package/2006/relationships"><Relationship Id="rId1" Type="http://schemas.microsoft.com/office/2006/relationships/activeXControlBinary" Target="activeX139.bin"/></Relationships>
</file>

<file path=xl/activeX/_rels/activeX140.xml.rels><?xml version="1.0" encoding="UTF-8" standalone="yes"?>
<Relationships xmlns="http://schemas.openxmlformats.org/package/2006/relationships"><Relationship Id="rId1" Type="http://schemas.microsoft.com/office/2006/relationships/activeXControlBinary" Target="activeX140.bin"/></Relationships>
</file>

<file path=xl/activeX/_rels/activeX141.xml.rels><?xml version="1.0" encoding="UTF-8" standalone="yes"?>
<Relationships xmlns="http://schemas.openxmlformats.org/package/2006/relationships"><Relationship Id="rId1" Type="http://schemas.microsoft.com/office/2006/relationships/activeXControlBinary" Target="activeX141.bin"/></Relationships>
</file>

<file path=xl/activeX/_rels/activeX142.xml.rels><?xml version="1.0" encoding="UTF-8" standalone="yes"?>
<Relationships xmlns="http://schemas.openxmlformats.org/package/2006/relationships"><Relationship Id="rId1" Type="http://schemas.microsoft.com/office/2006/relationships/activeXControlBinary" Target="activeX142.bin"/></Relationships>
</file>

<file path=xl/activeX/_rels/activeX143.xml.rels><?xml version="1.0" encoding="UTF-8" standalone="yes"?>
<Relationships xmlns="http://schemas.openxmlformats.org/package/2006/relationships"><Relationship Id="rId1" Type="http://schemas.microsoft.com/office/2006/relationships/activeXControlBinary" Target="activeX143.bin"/></Relationships>
</file>

<file path=xl/activeX/_rels/activeX144.xml.rels><?xml version="1.0" encoding="UTF-8" standalone="yes"?>
<Relationships xmlns="http://schemas.openxmlformats.org/package/2006/relationships"><Relationship Id="rId1" Type="http://schemas.microsoft.com/office/2006/relationships/activeXControlBinary" Target="activeX144.bin"/></Relationships>
</file>

<file path=xl/activeX/_rels/activeX145.xml.rels><?xml version="1.0" encoding="UTF-8" standalone="yes"?>
<Relationships xmlns="http://schemas.openxmlformats.org/package/2006/relationships"><Relationship Id="rId1" Type="http://schemas.microsoft.com/office/2006/relationships/activeXControlBinary" Target="activeX145.bin"/></Relationships>
</file>

<file path=xl/activeX/_rels/activeX146.xml.rels><?xml version="1.0" encoding="UTF-8" standalone="yes"?>
<Relationships xmlns="http://schemas.openxmlformats.org/package/2006/relationships"><Relationship Id="rId1" Type="http://schemas.microsoft.com/office/2006/relationships/activeXControlBinary" Target="activeX146.bin"/></Relationships>
</file>

<file path=xl/activeX/_rels/activeX147.xml.rels><?xml version="1.0" encoding="UTF-8" standalone="yes"?>
<Relationships xmlns="http://schemas.openxmlformats.org/package/2006/relationships"><Relationship Id="rId1" Type="http://schemas.microsoft.com/office/2006/relationships/activeXControlBinary" Target="activeX147.bin"/></Relationships>
</file>

<file path=xl/activeX/_rels/activeX148.xml.rels><?xml version="1.0" encoding="UTF-8" standalone="yes"?>
<Relationships xmlns="http://schemas.openxmlformats.org/package/2006/relationships"><Relationship Id="rId1" Type="http://schemas.microsoft.com/office/2006/relationships/activeXControlBinary" Target="activeX148.bin"/></Relationships>
</file>

<file path=xl/activeX/_rels/activeX149.xml.rels><?xml version="1.0" encoding="UTF-8" standalone="yes"?>
<Relationships xmlns="http://schemas.openxmlformats.org/package/2006/relationships"><Relationship Id="rId1" Type="http://schemas.microsoft.com/office/2006/relationships/activeXControlBinary" Target="activeX149.bin"/></Relationships>
</file>

<file path=xl/activeX/_rels/activeX150.xml.rels><?xml version="1.0" encoding="UTF-8" standalone="yes"?>
<Relationships xmlns="http://schemas.openxmlformats.org/package/2006/relationships"><Relationship Id="rId1" Type="http://schemas.microsoft.com/office/2006/relationships/activeXControlBinary" Target="activeX150.bin"/></Relationships>
</file>

<file path=xl/activeX/_rels/activeX151.xml.rels><?xml version="1.0" encoding="UTF-8" standalone="yes"?>
<Relationships xmlns="http://schemas.openxmlformats.org/package/2006/relationships"><Relationship Id="rId1" Type="http://schemas.microsoft.com/office/2006/relationships/activeXControlBinary" Target="activeX151.bin"/></Relationships>
</file>

<file path=xl/activeX/_rels/activeX152.xml.rels><?xml version="1.0" encoding="UTF-8" standalone="yes"?>
<Relationships xmlns="http://schemas.openxmlformats.org/package/2006/relationships"><Relationship Id="rId1" Type="http://schemas.microsoft.com/office/2006/relationships/activeXControlBinary" Target="activeX152.bin"/></Relationships>
</file>

<file path=xl/activeX/_rels/activeX153.xml.rels><?xml version="1.0" encoding="UTF-8" standalone="yes"?>
<Relationships xmlns="http://schemas.openxmlformats.org/package/2006/relationships"><Relationship Id="rId1" Type="http://schemas.microsoft.com/office/2006/relationships/activeXControlBinary" Target="activeX153.bin"/></Relationships>
</file>

<file path=xl/activeX/_rels/activeX154.xml.rels><?xml version="1.0" encoding="UTF-8" standalone="yes"?>
<Relationships xmlns="http://schemas.openxmlformats.org/package/2006/relationships"><Relationship Id="rId1" Type="http://schemas.microsoft.com/office/2006/relationships/activeXControlBinary" Target="activeX154.bin"/></Relationships>
</file>

<file path=xl/activeX/_rels/activeX155.xml.rels><?xml version="1.0" encoding="UTF-8" standalone="yes"?>
<Relationships xmlns="http://schemas.openxmlformats.org/package/2006/relationships"><Relationship Id="rId1" Type="http://schemas.microsoft.com/office/2006/relationships/activeXControlBinary" Target="activeX155.bin"/></Relationships>
</file>

<file path=xl/activeX/_rels/activeX156.xml.rels><?xml version="1.0" encoding="UTF-8" standalone="yes"?>
<Relationships xmlns="http://schemas.openxmlformats.org/package/2006/relationships"><Relationship Id="rId1" Type="http://schemas.microsoft.com/office/2006/relationships/activeXControlBinary" Target="activeX156.bin"/></Relationships>
</file>

<file path=xl/activeX/_rels/activeX157.xml.rels><?xml version="1.0" encoding="UTF-8" standalone="yes"?>
<Relationships xmlns="http://schemas.openxmlformats.org/package/2006/relationships"><Relationship Id="rId1" Type="http://schemas.microsoft.com/office/2006/relationships/activeXControlBinary" Target="activeX157.bin"/></Relationships>
</file>

<file path=xl/activeX/_rels/activeX158.xml.rels><?xml version="1.0" encoding="UTF-8" standalone="yes"?>
<Relationships xmlns="http://schemas.openxmlformats.org/package/2006/relationships"><Relationship Id="rId1" Type="http://schemas.microsoft.com/office/2006/relationships/activeXControlBinary" Target="activeX158.bin"/></Relationships>
</file>

<file path=xl/activeX/_rels/activeX159.xml.rels><?xml version="1.0" encoding="UTF-8" standalone="yes"?>
<Relationships xmlns="http://schemas.openxmlformats.org/package/2006/relationships"><Relationship Id="rId1" Type="http://schemas.microsoft.com/office/2006/relationships/activeXControlBinary" Target="activeX159.bin"/></Relationships>
</file>

<file path=xl/activeX/_rels/activeX160.xml.rels><?xml version="1.0" encoding="UTF-8" standalone="yes"?>
<Relationships xmlns="http://schemas.openxmlformats.org/package/2006/relationships"><Relationship Id="rId1" Type="http://schemas.microsoft.com/office/2006/relationships/activeXControlBinary" Target="activeX160.bin"/></Relationships>
</file>

<file path=xl/activeX/_rels/activeX161.xml.rels><?xml version="1.0" encoding="UTF-8" standalone="yes"?>
<Relationships xmlns="http://schemas.openxmlformats.org/package/2006/relationships"><Relationship Id="rId1" Type="http://schemas.microsoft.com/office/2006/relationships/activeXControlBinary" Target="activeX161.bin"/></Relationships>
</file>

<file path=xl/activeX/_rels/activeX162.xml.rels><?xml version="1.0" encoding="UTF-8" standalone="yes"?>
<Relationships xmlns="http://schemas.openxmlformats.org/package/2006/relationships"><Relationship Id="rId1" Type="http://schemas.microsoft.com/office/2006/relationships/activeXControlBinary" Target="activeX162.bin"/></Relationships>
</file>

<file path=xl/activeX/_rels/activeX163.xml.rels><?xml version="1.0" encoding="UTF-8" standalone="yes"?>
<Relationships xmlns="http://schemas.openxmlformats.org/package/2006/relationships"><Relationship Id="rId1" Type="http://schemas.microsoft.com/office/2006/relationships/activeXControlBinary" Target="activeX163.bin"/></Relationships>
</file>

<file path=xl/activeX/_rels/activeX164.xml.rels><?xml version="1.0" encoding="UTF-8" standalone="yes"?>
<Relationships xmlns="http://schemas.openxmlformats.org/package/2006/relationships"><Relationship Id="rId1" Type="http://schemas.microsoft.com/office/2006/relationships/activeXControlBinary" Target="activeX164.bin"/></Relationships>
</file>

<file path=xl/activeX/_rels/activeX165.xml.rels><?xml version="1.0" encoding="UTF-8" standalone="yes"?>
<Relationships xmlns="http://schemas.openxmlformats.org/package/2006/relationships"><Relationship Id="rId1" Type="http://schemas.microsoft.com/office/2006/relationships/activeXControlBinary" Target="activeX165.bin"/></Relationships>
</file>

<file path=xl/activeX/_rels/activeX166.xml.rels><?xml version="1.0" encoding="UTF-8" standalone="yes"?>
<Relationships xmlns="http://schemas.openxmlformats.org/package/2006/relationships"><Relationship Id="rId1" Type="http://schemas.microsoft.com/office/2006/relationships/activeXControlBinary" Target="activeX166.bin"/></Relationships>
</file>

<file path=xl/activeX/_rels/activeX167.xml.rels><?xml version="1.0" encoding="UTF-8" standalone="yes"?>
<Relationships xmlns="http://schemas.openxmlformats.org/package/2006/relationships"><Relationship Id="rId1" Type="http://schemas.microsoft.com/office/2006/relationships/activeXControlBinary" Target="activeX167.bin"/></Relationships>
</file>

<file path=xl/activeX/_rels/activeX168.xml.rels><?xml version="1.0" encoding="UTF-8" standalone="yes"?>
<Relationships xmlns="http://schemas.openxmlformats.org/package/2006/relationships"><Relationship Id="rId1" Type="http://schemas.microsoft.com/office/2006/relationships/activeXControlBinary" Target="activeX168.bin"/></Relationships>
</file>

<file path=xl/activeX/_rels/activeX169.xml.rels><?xml version="1.0" encoding="UTF-8" standalone="yes"?>
<Relationships xmlns="http://schemas.openxmlformats.org/package/2006/relationships"><Relationship Id="rId1" Type="http://schemas.microsoft.com/office/2006/relationships/activeXControlBinary" Target="activeX169.bin"/></Relationships>
</file>

<file path=xl/activeX/_rels/activeX170.xml.rels><?xml version="1.0" encoding="UTF-8" standalone="yes"?>
<Relationships xmlns="http://schemas.openxmlformats.org/package/2006/relationships"><Relationship Id="rId1" Type="http://schemas.microsoft.com/office/2006/relationships/activeXControlBinary" Target="activeX170.bin"/></Relationships>
</file>

<file path=xl/activeX/_rels/activeX171.xml.rels><?xml version="1.0" encoding="UTF-8" standalone="yes"?>
<Relationships xmlns="http://schemas.openxmlformats.org/package/2006/relationships"><Relationship Id="rId1" Type="http://schemas.microsoft.com/office/2006/relationships/activeXControlBinary" Target="activeX171.bin"/></Relationships>
</file>

<file path=xl/activeX/_rels/activeX172.xml.rels><?xml version="1.0" encoding="UTF-8" standalone="yes"?>
<Relationships xmlns="http://schemas.openxmlformats.org/package/2006/relationships"><Relationship Id="rId1" Type="http://schemas.microsoft.com/office/2006/relationships/activeXControlBinary" Target="activeX172.bin"/></Relationships>
</file>

<file path=xl/activeX/_rels/activeX173.xml.rels><?xml version="1.0" encoding="UTF-8" standalone="yes"?>
<Relationships xmlns="http://schemas.openxmlformats.org/package/2006/relationships"><Relationship Id="rId1" Type="http://schemas.microsoft.com/office/2006/relationships/activeXControlBinary" Target="activeX173.bin"/></Relationships>
</file>

<file path=xl/activeX/_rels/activeX174.xml.rels><?xml version="1.0" encoding="UTF-8" standalone="yes"?>
<Relationships xmlns="http://schemas.openxmlformats.org/package/2006/relationships"><Relationship Id="rId1" Type="http://schemas.microsoft.com/office/2006/relationships/activeXControlBinary" Target="activeX174.bin"/></Relationships>
</file>

<file path=xl/activeX/_rels/activeX175.xml.rels><?xml version="1.0" encoding="UTF-8" standalone="yes"?>
<Relationships xmlns="http://schemas.openxmlformats.org/package/2006/relationships"><Relationship Id="rId1" Type="http://schemas.microsoft.com/office/2006/relationships/activeXControlBinary" Target="activeX175.bin"/></Relationships>
</file>

<file path=xl/activeX/_rels/activeX176.xml.rels><?xml version="1.0" encoding="UTF-8" standalone="yes"?>
<Relationships xmlns="http://schemas.openxmlformats.org/package/2006/relationships"><Relationship Id="rId1" Type="http://schemas.microsoft.com/office/2006/relationships/activeXControlBinary" Target="activeX176.bin"/></Relationships>
</file>

<file path=xl/activeX/_rels/activeX177.xml.rels><?xml version="1.0" encoding="UTF-8" standalone="yes"?>
<Relationships xmlns="http://schemas.openxmlformats.org/package/2006/relationships"><Relationship Id="rId1" Type="http://schemas.microsoft.com/office/2006/relationships/activeXControlBinary" Target="activeX177.bin"/></Relationships>
</file>

<file path=xl/activeX/_rels/activeX178.xml.rels><?xml version="1.0" encoding="UTF-8" standalone="yes"?>
<Relationships xmlns="http://schemas.openxmlformats.org/package/2006/relationships"><Relationship Id="rId1" Type="http://schemas.microsoft.com/office/2006/relationships/activeXControlBinary" Target="activeX178.bin"/></Relationships>
</file>

<file path=xl/activeX/_rels/activeX179.xml.rels><?xml version="1.0" encoding="UTF-8" standalone="yes"?>
<Relationships xmlns="http://schemas.openxmlformats.org/package/2006/relationships"><Relationship Id="rId1" Type="http://schemas.microsoft.com/office/2006/relationships/activeXControlBinary" Target="activeX179.bin"/></Relationships>
</file>

<file path=xl/activeX/_rels/activeX180.xml.rels><?xml version="1.0" encoding="UTF-8" standalone="yes"?>
<Relationships xmlns="http://schemas.openxmlformats.org/package/2006/relationships"><Relationship Id="rId1" Type="http://schemas.microsoft.com/office/2006/relationships/activeXControlBinary" Target="activeX180.bin"/></Relationships>
</file>

<file path=xl/activeX/_rels/activeX181.xml.rels><?xml version="1.0" encoding="UTF-8" standalone="yes"?>
<Relationships xmlns="http://schemas.openxmlformats.org/package/2006/relationships"><Relationship Id="rId1" Type="http://schemas.microsoft.com/office/2006/relationships/activeXControlBinary" Target="activeX181.bin"/></Relationships>
</file>

<file path=xl/activeX/_rels/activeX182.xml.rels><?xml version="1.0" encoding="UTF-8" standalone="yes"?>
<Relationships xmlns="http://schemas.openxmlformats.org/package/2006/relationships"><Relationship Id="rId1" Type="http://schemas.microsoft.com/office/2006/relationships/activeXControlBinary" Target="activeX182.bin"/></Relationships>
</file>

<file path=xl/activeX/_rels/activeX183.xml.rels><?xml version="1.0" encoding="UTF-8" standalone="yes"?>
<Relationships xmlns="http://schemas.openxmlformats.org/package/2006/relationships"><Relationship Id="rId1" Type="http://schemas.microsoft.com/office/2006/relationships/activeXControlBinary" Target="activeX183.bin"/></Relationships>
</file>

<file path=xl/activeX/_rels/activeX184.xml.rels><?xml version="1.0" encoding="UTF-8" standalone="yes"?>
<Relationships xmlns="http://schemas.openxmlformats.org/package/2006/relationships"><Relationship Id="rId1" Type="http://schemas.microsoft.com/office/2006/relationships/activeXControlBinary" Target="activeX184.bin"/></Relationships>
</file>

<file path=xl/activeX/_rels/activeX185.xml.rels><?xml version="1.0" encoding="UTF-8" standalone="yes"?>
<Relationships xmlns="http://schemas.openxmlformats.org/package/2006/relationships"><Relationship Id="rId1" Type="http://schemas.microsoft.com/office/2006/relationships/activeXControlBinary" Target="activeX185.bin"/></Relationships>
</file>

<file path=xl/activeX/_rels/activeX186.xml.rels><?xml version="1.0" encoding="UTF-8" standalone="yes"?>
<Relationships xmlns="http://schemas.openxmlformats.org/package/2006/relationships"><Relationship Id="rId1" Type="http://schemas.microsoft.com/office/2006/relationships/activeXControlBinary" Target="activeX186.bin"/></Relationships>
</file>

<file path=xl/activeX/_rels/activeX187.xml.rels><?xml version="1.0" encoding="UTF-8" standalone="yes"?>
<Relationships xmlns="http://schemas.openxmlformats.org/package/2006/relationships"><Relationship Id="rId1" Type="http://schemas.microsoft.com/office/2006/relationships/activeXControlBinary" Target="activeX187.bin"/></Relationships>
</file>

<file path=xl/activeX/_rels/activeX188.xml.rels><?xml version="1.0" encoding="UTF-8" standalone="yes"?>
<Relationships xmlns="http://schemas.openxmlformats.org/package/2006/relationships"><Relationship Id="rId1" Type="http://schemas.microsoft.com/office/2006/relationships/activeXControlBinary" Target="activeX188.bin"/></Relationships>
</file>

<file path=xl/activeX/_rels/activeX189.xml.rels><?xml version="1.0" encoding="UTF-8" standalone="yes"?>
<Relationships xmlns="http://schemas.openxmlformats.org/package/2006/relationships"><Relationship Id="rId1" Type="http://schemas.microsoft.com/office/2006/relationships/activeXControlBinary" Target="activeX189.bin"/></Relationships>
</file>

<file path=xl/activeX/_rels/activeX190.xml.rels><?xml version="1.0" encoding="UTF-8" standalone="yes"?>
<Relationships xmlns="http://schemas.openxmlformats.org/package/2006/relationships"><Relationship Id="rId1" Type="http://schemas.microsoft.com/office/2006/relationships/activeXControlBinary" Target="activeX190.bin"/></Relationships>
</file>

<file path=xl/activeX/_rels/activeX191.xml.rels><?xml version="1.0" encoding="UTF-8" standalone="yes"?>
<Relationships xmlns="http://schemas.openxmlformats.org/package/2006/relationships"><Relationship Id="rId1" Type="http://schemas.microsoft.com/office/2006/relationships/activeXControlBinary" Target="activeX191.bin"/></Relationships>
</file>

<file path=xl/activeX/_rels/activeX192.xml.rels><?xml version="1.0" encoding="UTF-8" standalone="yes"?>
<Relationships xmlns="http://schemas.openxmlformats.org/package/2006/relationships"><Relationship Id="rId1" Type="http://schemas.microsoft.com/office/2006/relationships/activeXControlBinary" Target="activeX192.bin"/></Relationships>
</file>

<file path=xl/activeX/_rels/activeX193.xml.rels><?xml version="1.0" encoding="UTF-8" standalone="yes"?>
<Relationships xmlns="http://schemas.openxmlformats.org/package/2006/relationships"><Relationship Id="rId1" Type="http://schemas.microsoft.com/office/2006/relationships/activeXControlBinary" Target="activeX193.bin"/></Relationships>
</file>

<file path=xl/activeX/_rels/activeX194.xml.rels><?xml version="1.0" encoding="UTF-8" standalone="yes"?>
<Relationships xmlns="http://schemas.openxmlformats.org/package/2006/relationships"><Relationship Id="rId1" Type="http://schemas.microsoft.com/office/2006/relationships/activeXControlBinary" Target="activeX194.bin"/></Relationships>
</file>

<file path=xl/activeX/_rels/activeX195.xml.rels><?xml version="1.0" encoding="UTF-8" standalone="yes"?>
<Relationships xmlns="http://schemas.openxmlformats.org/package/2006/relationships"><Relationship Id="rId1" Type="http://schemas.microsoft.com/office/2006/relationships/activeXControlBinary" Target="activeX195.bin"/></Relationships>
</file>

<file path=xl/activeX/_rels/activeX196.xml.rels><?xml version="1.0" encoding="UTF-8" standalone="yes"?>
<Relationships xmlns="http://schemas.openxmlformats.org/package/2006/relationships"><Relationship Id="rId1" Type="http://schemas.microsoft.com/office/2006/relationships/activeXControlBinary" Target="activeX196.bin"/></Relationships>
</file>

<file path=xl/activeX/_rels/activeX197.xml.rels><?xml version="1.0" encoding="UTF-8" standalone="yes"?>
<Relationships xmlns="http://schemas.openxmlformats.org/package/2006/relationships"><Relationship Id="rId1" Type="http://schemas.microsoft.com/office/2006/relationships/activeXControlBinary" Target="activeX197.bin"/></Relationships>
</file>

<file path=xl/activeX/_rels/activeX198.xml.rels><?xml version="1.0" encoding="UTF-8" standalone="yes"?>
<Relationships xmlns="http://schemas.openxmlformats.org/package/2006/relationships"><Relationship Id="rId1" Type="http://schemas.microsoft.com/office/2006/relationships/activeXControlBinary" Target="activeX198.bin"/></Relationships>
</file>

<file path=xl/activeX/_rels/activeX199.xml.rels><?xml version="1.0" encoding="UTF-8" standalone="yes"?>
<Relationships xmlns="http://schemas.openxmlformats.org/package/2006/relationships"><Relationship Id="rId1" Type="http://schemas.microsoft.com/office/2006/relationships/activeXControlBinary" Target="activeX199.bin"/></Relationships>
</file>

<file path=xl/activeX/_rels/activeX200.xml.rels><?xml version="1.0" encoding="UTF-8" standalone="yes"?>
<Relationships xmlns="http://schemas.openxmlformats.org/package/2006/relationships"><Relationship Id="rId1" Type="http://schemas.microsoft.com/office/2006/relationships/activeXControlBinary" Target="activeX200.bin"/></Relationships>
</file>

<file path=xl/activeX/_rels/activeX201.xml.rels><?xml version="1.0" encoding="UTF-8" standalone="yes"?>
<Relationships xmlns="http://schemas.openxmlformats.org/package/2006/relationships"><Relationship Id="rId1" Type="http://schemas.microsoft.com/office/2006/relationships/activeXControlBinary" Target="activeX201.bin"/></Relationships>
</file>

<file path=xl/activeX/_rels/activeX202.xml.rels><?xml version="1.0" encoding="UTF-8" standalone="yes"?>
<Relationships xmlns="http://schemas.openxmlformats.org/package/2006/relationships"><Relationship Id="rId1" Type="http://schemas.microsoft.com/office/2006/relationships/activeXControlBinary" Target="activeX202.bin"/></Relationships>
</file>

<file path=xl/activeX/_rels/activeX203.xml.rels><?xml version="1.0" encoding="UTF-8" standalone="yes"?>
<Relationships xmlns="http://schemas.openxmlformats.org/package/2006/relationships"><Relationship Id="rId1" Type="http://schemas.microsoft.com/office/2006/relationships/activeXControlBinary" Target="activeX203.bin"/></Relationships>
</file>

<file path=xl/activeX/_rels/activeX204.xml.rels><?xml version="1.0" encoding="UTF-8" standalone="yes"?>
<Relationships xmlns="http://schemas.openxmlformats.org/package/2006/relationships"><Relationship Id="rId1" Type="http://schemas.microsoft.com/office/2006/relationships/activeXControlBinary" Target="activeX204.bin"/></Relationships>
</file>

<file path=xl/activeX/_rels/activeX205.xml.rels><?xml version="1.0" encoding="UTF-8" standalone="yes"?>
<Relationships xmlns="http://schemas.openxmlformats.org/package/2006/relationships"><Relationship Id="rId1" Type="http://schemas.microsoft.com/office/2006/relationships/activeXControlBinary" Target="activeX205.bin"/></Relationships>
</file>

<file path=xl/activeX/_rels/activeX206.xml.rels><?xml version="1.0" encoding="UTF-8" standalone="yes"?>
<Relationships xmlns="http://schemas.openxmlformats.org/package/2006/relationships"><Relationship Id="rId1" Type="http://schemas.microsoft.com/office/2006/relationships/activeXControlBinary" Target="activeX206.bin"/></Relationships>
</file>

<file path=xl/activeX/_rels/activeX207.xml.rels><?xml version="1.0" encoding="UTF-8" standalone="yes"?>
<Relationships xmlns="http://schemas.openxmlformats.org/package/2006/relationships"><Relationship Id="rId1" Type="http://schemas.microsoft.com/office/2006/relationships/activeXControlBinary" Target="activeX207.bin"/></Relationships>
</file>

<file path=xl/activeX/_rels/activeX208.xml.rels><?xml version="1.0" encoding="UTF-8" standalone="yes"?>
<Relationships xmlns="http://schemas.openxmlformats.org/package/2006/relationships"><Relationship Id="rId1" Type="http://schemas.microsoft.com/office/2006/relationships/activeXControlBinary" Target="activeX208.bin"/></Relationships>
</file>

<file path=xl/activeX/_rels/activeX209.xml.rels><?xml version="1.0" encoding="UTF-8" standalone="yes"?>
<Relationships xmlns="http://schemas.openxmlformats.org/package/2006/relationships"><Relationship Id="rId1" Type="http://schemas.microsoft.com/office/2006/relationships/activeXControlBinary" Target="activeX209.bin"/></Relationships>
</file>

<file path=xl/activeX/_rels/activeX210.xml.rels><?xml version="1.0" encoding="UTF-8" standalone="yes"?>
<Relationships xmlns="http://schemas.openxmlformats.org/package/2006/relationships"><Relationship Id="rId1" Type="http://schemas.microsoft.com/office/2006/relationships/activeXControlBinary" Target="activeX210.bin"/></Relationships>
</file>

<file path=xl/activeX/_rels/activeX211.xml.rels><?xml version="1.0" encoding="UTF-8" standalone="yes"?>
<Relationships xmlns="http://schemas.openxmlformats.org/package/2006/relationships"><Relationship Id="rId1" Type="http://schemas.microsoft.com/office/2006/relationships/activeXControlBinary" Target="activeX211.bin"/></Relationships>
</file>

<file path=xl/activeX/_rels/activeX212.xml.rels><?xml version="1.0" encoding="UTF-8" standalone="yes"?>
<Relationships xmlns="http://schemas.openxmlformats.org/package/2006/relationships"><Relationship Id="rId1" Type="http://schemas.microsoft.com/office/2006/relationships/activeXControlBinary" Target="activeX212.bin"/></Relationships>
</file>

<file path=xl/activeX/_rels/activeX213.xml.rels><?xml version="1.0" encoding="UTF-8" standalone="yes"?>
<Relationships xmlns="http://schemas.openxmlformats.org/package/2006/relationships"><Relationship Id="rId1" Type="http://schemas.microsoft.com/office/2006/relationships/activeXControlBinary" Target="activeX213.bin"/></Relationships>
</file>

<file path=xl/activeX/_rels/activeX214.xml.rels><?xml version="1.0" encoding="UTF-8" standalone="yes"?>
<Relationships xmlns="http://schemas.openxmlformats.org/package/2006/relationships"><Relationship Id="rId1" Type="http://schemas.microsoft.com/office/2006/relationships/activeXControlBinary" Target="activeX214.bin"/></Relationships>
</file>

<file path=xl/activeX/_rels/activeX215.xml.rels><?xml version="1.0" encoding="UTF-8" standalone="yes"?>
<Relationships xmlns="http://schemas.openxmlformats.org/package/2006/relationships"><Relationship Id="rId1" Type="http://schemas.microsoft.com/office/2006/relationships/activeXControlBinary" Target="activeX215.bin"/></Relationships>
</file>

<file path=xl/activeX/_rels/activeX216.xml.rels><?xml version="1.0" encoding="UTF-8" standalone="yes"?>
<Relationships xmlns="http://schemas.openxmlformats.org/package/2006/relationships"><Relationship Id="rId1" Type="http://schemas.microsoft.com/office/2006/relationships/activeXControlBinary" Target="activeX216.bin"/></Relationships>
</file>

<file path=xl/activeX/_rels/activeX217.xml.rels><?xml version="1.0" encoding="UTF-8" standalone="yes"?>
<Relationships xmlns="http://schemas.openxmlformats.org/package/2006/relationships"><Relationship Id="rId1" Type="http://schemas.microsoft.com/office/2006/relationships/activeXControlBinary" Target="activeX217.bin"/></Relationships>
</file>

<file path=xl/activeX/_rels/activeX218.xml.rels><?xml version="1.0" encoding="UTF-8" standalone="yes"?>
<Relationships xmlns="http://schemas.openxmlformats.org/package/2006/relationships"><Relationship Id="rId1" Type="http://schemas.microsoft.com/office/2006/relationships/activeXControlBinary" Target="activeX218.bin"/></Relationships>
</file>

<file path=xl/activeX/_rels/activeX219.xml.rels><?xml version="1.0" encoding="UTF-8" standalone="yes"?>
<Relationships xmlns="http://schemas.openxmlformats.org/package/2006/relationships"><Relationship Id="rId1" Type="http://schemas.microsoft.com/office/2006/relationships/activeXControlBinary" Target="activeX219.bin"/></Relationships>
</file>

<file path=xl/activeX/_rels/activeX220.xml.rels><?xml version="1.0" encoding="UTF-8" standalone="yes"?>
<Relationships xmlns="http://schemas.openxmlformats.org/package/2006/relationships"><Relationship Id="rId1" Type="http://schemas.microsoft.com/office/2006/relationships/activeXControlBinary" Target="activeX220.bin"/></Relationships>
</file>

<file path=xl/activeX/_rels/activeX221.xml.rels><?xml version="1.0" encoding="UTF-8" standalone="yes"?>
<Relationships xmlns="http://schemas.openxmlformats.org/package/2006/relationships"><Relationship Id="rId1" Type="http://schemas.microsoft.com/office/2006/relationships/activeXControlBinary" Target="activeX221.bin"/></Relationships>
</file>

<file path=xl/activeX/_rels/activeX222.xml.rels><?xml version="1.0" encoding="UTF-8" standalone="yes"?>
<Relationships xmlns="http://schemas.openxmlformats.org/package/2006/relationships"><Relationship Id="rId1" Type="http://schemas.microsoft.com/office/2006/relationships/activeXControlBinary" Target="activeX222.bin"/></Relationships>
</file>

<file path=xl/activeX/_rels/activeX223.xml.rels><?xml version="1.0" encoding="UTF-8" standalone="yes"?>
<Relationships xmlns="http://schemas.openxmlformats.org/package/2006/relationships"><Relationship Id="rId1" Type="http://schemas.microsoft.com/office/2006/relationships/activeXControlBinary" Target="activeX223.bin"/></Relationships>
</file>

<file path=xl/activeX/_rels/activeX224.xml.rels><?xml version="1.0" encoding="UTF-8" standalone="yes"?>
<Relationships xmlns="http://schemas.openxmlformats.org/package/2006/relationships"><Relationship Id="rId1" Type="http://schemas.microsoft.com/office/2006/relationships/activeXControlBinary" Target="activeX224.bin"/></Relationships>
</file>

<file path=xl/activeX/_rels/activeX225.xml.rels><?xml version="1.0" encoding="UTF-8" standalone="yes"?>
<Relationships xmlns="http://schemas.openxmlformats.org/package/2006/relationships"><Relationship Id="rId1" Type="http://schemas.microsoft.com/office/2006/relationships/activeXControlBinary" Target="activeX225.bin"/></Relationships>
</file>

<file path=xl/activeX/_rels/activeX226.xml.rels><?xml version="1.0" encoding="UTF-8" standalone="yes"?>
<Relationships xmlns="http://schemas.openxmlformats.org/package/2006/relationships"><Relationship Id="rId1" Type="http://schemas.microsoft.com/office/2006/relationships/activeXControlBinary" Target="activeX226.bin"/></Relationships>
</file>

<file path=xl/activeX/_rels/activeX227.xml.rels><?xml version="1.0" encoding="UTF-8" standalone="yes"?>
<Relationships xmlns="http://schemas.openxmlformats.org/package/2006/relationships"><Relationship Id="rId1" Type="http://schemas.microsoft.com/office/2006/relationships/activeXControlBinary" Target="activeX227.bin"/></Relationships>
</file>

<file path=xl/activeX/_rels/activeX228.xml.rels><?xml version="1.0" encoding="UTF-8" standalone="yes"?>
<Relationships xmlns="http://schemas.openxmlformats.org/package/2006/relationships"><Relationship Id="rId1" Type="http://schemas.microsoft.com/office/2006/relationships/activeXControlBinary" Target="activeX228.bin"/></Relationships>
</file>

<file path=xl/activeX/_rels/activeX229.xml.rels><?xml version="1.0" encoding="UTF-8" standalone="yes"?>
<Relationships xmlns="http://schemas.openxmlformats.org/package/2006/relationships"><Relationship Id="rId1" Type="http://schemas.microsoft.com/office/2006/relationships/activeXControlBinary" Target="activeX229.bin"/></Relationships>
</file>

<file path=xl/activeX/_rels/activeX230.xml.rels><?xml version="1.0" encoding="UTF-8" standalone="yes"?>
<Relationships xmlns="http://schemas.openxmlformats.org/package/2006/relationships"><Relationship Id="rId1" Type="http://schemas.microsoft.com/office/2006/relationships/activeXControlBinary" Target="activeX230.bin"/></Relationships>
</file>

<file path=xl/activeX/_rels/activeX231.xml.rels><?xml version="1.0" encoding="UTF-8" standalone="yes"?>
<Relationships xmlns="http://schemas.openxmlformats.org/package/2006/relationships"><Relationship Id="rId1" Type="http://schemas.microsoft.com/office/2006/relationships/activeXControlBinary" Target="activeX231.bin"/></Relationships>
</file>

<file path=xl/activeX/_rels/activeX232.xml.rels><?xml version="1.0" encoding="UTF-8" standalone="yes"?>
<Relationships xmlns="http://schemas.openxmlformats.org/package/2006/relationships"><Relationship Id="rId1" Type="http://schemas.microsoft.com/office/2006/relationships/activeXControlBinary" Target="activeX232.bin"/></Relationships>
</file>

<file path=xl/activeX/_rels/activeX233.xml.rels><?xml version="1.0" encoding="UTF-8" standalone="yes"?>
<Relationships xmlns="http://schemas.openxmlformats.org/package/2006/relationships"><Relationship Id="rId1" Type="http://schemas.microsoft.com/office/2006/relationships/activeXControlBinary" Target="activeX233.bin"/></Relationships>
</file>

<file path=xl/activeX/_rels/activeX234.xml.rels><?xml version="1.0" encoding="UTF-8" standalone="yes"?>
<Relationships xmlns="http://schemas.openxmlformats.org/package/2006/relationships"><Relationship Id="rId1" Type="http://schemas.microsoft.com/office/2006/relationships/activeXControlBinary" Target="activeX234.bin"/></Relationships>
</file>

<file path=xl/activeX/_rels/activeX235.xml.rels><?xml version="1.0" encoding="UTF-8" standalone="yes"?>
<Relationships xmlns="http://schemas.openxmlformats.org/package/2006/relationships"><Relationship Id="rId1" Type="http://schemas.microsoft.com/office/2006/relationships/activeXControlBinary" Target="activeX235.bin"/></Relationships>
</file>

<file path=xl/activeX/_rels/activeX236.xml.rels><?xml version="1.0" encoding="UTF-8" standalone="yes"?>
<Relationships xmlns="http://schemas.openxmlformats.org/package/2006/relationships"><Relationship Id="rId1" Type="http://schemas.microsoft.com/office/2006/relationships/activeXControlBinary" Target="activeX236.bin"/></Relationships>
</file>

<file path=xl/activeX/_rels/activeX237.xml.rels><?xml version="1.0" encoding="UTF-8" standalone="yes"?>
<Relationships xmlns="http://schemas.openxmlformats.org/package/2006/relationships"><Relationship Id="rId1" Type="http://schemas.microsoft.com/office/2006/relationships/activeXControlBinary" Target="activeX237.bin"/></Relationships>
</file>

<file path=xl/activeX/_rels/activeX238.xml.rels><?xml version="1.0" encoding="UTF-8" standalone="yes"?>
<Relationships xmlns="http://schemas.openxmlformats.org/package/2006/relationships"><Relationship Id="rId1" Type="http://schemas.microsoft.com/office/2006/relationships/activeXControlBinary" Target="activeX238.bin"/></Relationships>
</file>

<file path=xl/activeX/_rels/activeX239.xml.rels><?xml version="1.0" encoding="UTF-8" standalone="yes"?>
<Relationships xmlns="http://schemas.openxmlformats.org/package/2006/relationships"><Relationship Id="rId1" Type="http://schemas.microsoft.com/office/2006/relationships/activeXControlBinary" Target="activeX239.bin"/></Relationships>
</file>

<file path=xl/activeX/_rels/activeX240.xml.rels><?xml version="1.0" encoding="UTF-8" standalone="yes"?>
<Relationships xmlns="http://schemas.openxmlformats.org/package/2006/relationships"><Relationship Id="rId1" Type="http://schemas.microsoft.com/office/2006/relationships/activeXControlBinary" Target="activeX240.bin"/></Relationships>
</file>

<file path=xl/activeX/_rels/activeX241.xml.rels><?xml version="1.0" encoding="UTF-8" standalone="yes"?>
<Relationships xmlns="http://schemas.openxmlformats.org/package/2006/relationships"><Relationship Id="rId1" Type="http://schemas.microsoft.com/office/2006/relationships/activeXControlBinary" Target="activeX241.bin"/></Relationships>
</file>

<file path=xl/activeX/_rels/activeX242.xml.rels><?xml version="1.0" encoding="UTF-8" standalone="yes"?>
<Relationships xmlns="http://schemas.openxmlformats.org/package/2006/relationships"><Relationship Id="rId1" Type="http://schemas.microsoft.com/office/2006/relationships/activeXControlBinary" Target="activeX242.bin"/></Relationships>
</file>

<file path=xl/activeX/_rels/activeX243.xml.rels><?xml version="1.0" encoding="UTF-8" standalone="yes"?>
<Relationships xmlns="http://schemas.openxmlformats.org/package/2006/relationships"><Relationship Id="rId1" Type="http://schemas.microsoft.com/office/2006/relationships/activeXControlBinary" Target="activeX243.bin"/></Relationships>
</file>

<file path=xl/activeX/_rels/activeX244.xml.rels><?xml version="1.0" encoding="UTF-8" standalone="yes"?>
<Relationships xmlns="http://schemas.openxmlformats.org/package/2006/relationships"><Relationship Id="rId1" Type="http://schemas.microsoft.com/office/2006/relationships/activeXControlBinary" Target="activeX244.bin"/></Relationships>
</file>

<file path=xl/activeX/_rels/activeX245.xml.rels><?xml version="1.0" encoding="UTF-8" standalone="yes"?>
<Relationships xmlns="http://schemas.openxmlformats.org/package/2006/relationships"><Relationship Id="rId1" Type="http://schemas.microsoft.com/office/2006/relationships/activeXControlBinary" Target="activeX245.bin"/></Relationships>
</file>

<file path=xl/activeX/_rels/activeX246.xml.rels><?xml version="1.0" encoding="UTF-8" standalone="yes"?>
<Relationships xmlns="http://schemas.openxmlformats.org/package/2006/relationships"><Relationship Id="rId1" Type="http://schemas.microsoft.com/office/2006/relationships/activeXControlBinary" Target="activeX246.bin"/></Relationships>
</file>

<file path=xl/activeX/_rels/activeX247.xml.rels><?xml version="1.0" encoding="UTF-8" standalone="yes"?>
<Relationships xmlns="http://schemas.openxmlformats.org/package/2006/relationships"><Relationship Id="rId1" Type="http://schemas.microsoft.com/office/2006/relationships/activeXControlBinary" Target="activeX247.bin"/></Relationships>
</file>

<file path=xl/activeX/_rels/activeX248.xml.rels><?xml version="1.0" encoding="UTF-8" standalone="yes"?>
<Relationships xmlns="http://schemas.openxmlformats.org/package/2006/relationships"><Relationship Id="rId1" Type="http://schemas.microsoft.com/office/2006/relationships/activeXControlBinary" Target="activeX248.bin"/></Relationships>
</file>

<file path=xl/activeX/_rels/activeX249.xml.rels><?xml version="1.0" encoding="UTF-8" standalone="yes"?>
<Relationships xmlns="http://schemas.openxmlformats.org/package/2006/relationships"><Relationship Id="rId1" Type="http://schemas.microsoft.com/office/2006/relationships/activeXControlBinary" Target="activeX249.bin"/></Relationships>
</file>

<file path=xl/activeX/_rels/activeX250.xml.rels><?xml version="1.0" encoding="UTF-8" standalone="yes"?>
<Relationships xmlns="http://schemas.openxmlformats.org/package/2006/relationships"><Relationship Id="rId1" Type="http://schemas.microsoft.com/office/2006/relationships/activeXControlBinary" Target="activeX250.bin"/></Relationships>
</file>

<file path=xl/activeX/_rels/activeX251.xml.rels><?xml version="1.0" encoding="UTF-8" standalone="yes"?>
<Relationships xmlns="http://schemas.openxmlformats.org/package/2006/relationships"><Relationship Id="rId1" Type="http://schemas.microsoft.com/office/2006/relationships/activeXControlBinary" Target="activeX251.bin"/></Relationships>
</file>

<file path=xl/activeX/_rels/activeX252.xml.rels><?xml version="1.0" encoding="UTF-8" standalone="yes"?>
<Relationships xmlns="http://schemas.openxmlformats.org/package/2006/relationships"><Relationship Id="rId1" Type="http://schemas.microsoft.com/office/2006/relationships/activeXControlBinary" Target="activeX252.bin"/></Relationships>
</file>

<file path=xl/activeX/_rels/activeX253.xml.rels><?xml version="1.0" encoding="UTF-8" standalone="yes"?>
<Relationships xmlns="http://schemas.openxmlformats.org/package/2006/relationships"><Relationship Id="rId1" Type="http://schemas.microsoft.com/office/2006/relationships/activeXControlBinary" Target="activeX253.bin"/></Relationships>
</file>

<file path=xl/activeX/_rels/activeX254.xml.rels><?xml version="1.0" encoding="UTF-8" standalone="yes"?>
<Relationships xmlns="http://schemas.openxmlformats.org/package/2006/relationships"><Relationship Id="rId1" Type="http://schemas.microsoft.com/office/2006/relationships/activeXControlBinary" Target="activeX254.bin"/></Relationships>
</file>

<file path=xl/activeX/_rels/activeX255.xml.rels><?xml version="1.0" encoding="UTF-8" standalone="yes"?>
<Relationships xmlns="http://schemas.openxmlformats.org/package/2006/relationships"><Relationship Id="rId1" Type="http://schemas.microsoft.com/office/2006/relationships/activeXControlBinary" Target="activeX255.bin"/></Relationships>
</file>

<file path=xl/activeX/_rels/activeX256.xml.rels><?xml version="1.0" encoding="UTF-8" standalone="yes"?>
<Relationships xmlns="http://schemas.openxmlformats.org/package/2006/relationships"><Relationship Id="rId1" Type="http://schemas.microsoft.com/office/2006/relationships/activeXControlBinary" Target="activeX256.bin"/></Relationships>
</file>

<file path=xl/activeX/_rels/activeX257.xml.rels><?xml version="1.0" encoding="UTF-8" standalone="yes"?>
<Relationships xmlns="http://schemas.openxmlformats.org/package/2006/relationships"><Relationship Id="rId1" Type="http://schemas.microsoft.com/office/2006/relationships/activeXControlBinary" Target="activeX257.bin"/></Relationships>
</file>

<file path=xl/activeX/_rels/activeX258.xml.rels><?xml version="1.0" encoding="UTF-8" standalone="yes"?>
<Relationships xmlns="http://schemas.openxmlformats.org/package/2006/relationships"><Relationship Id="rId1" Type="http://schemas.microsoft.com/office/2006/relationships/activeXControlBinary" Target="activeX258.bin"/></Relationships>
</file>

<file path=xl/activeX/_rels/activeX259.xml.rels><?xml version="1.0" encoding="UTF-8" standalone="yes"?>
<Relationships xmlns="http://schemas.openxmlformats.org/package/2006/relationships"><Relationship Id="rId1" Type="http://schemas.microsoft.com/office/2006/relationships/activeXControlBinary" Target="activeX259.bin"/></Relationships>
</file>

<file path=xl/activeX/_rels/activeX260.xml.rels><?xml version="1.0" encoding="UTF-8" standalone="yes"?>
<Relationships xmlns="http://schemas.openxmlformats.org/package/2006/relationships"><Relationship Id="rId1" Type="http://schemas.microsoft.com/office/2006/relationships/activeXControlBinary" Target="activeX260.bin"/></Relationships>
</file>

<file path=xl/activeX/_rels/activeX261.xml.rels><?xml version="1.0" encoding="UTF-8" standalone="yes"?>
<Relationships xmlns="http://schemas.openxmlformats.org/package/2006/relationships"><Relationship Id="rId1" Type="http://schemas.microsoft.com/office/2006/relationships/activeXControlBinary" Target="activeX261.bin"/></Relationships>
</file>

<file path=xl/activeX/_rels/activeX262.xml.rels><?xml version="1.0" encoding="UTF-8" standalone="yes"?>
<Relationships xmlns="http://schemas.openxmlformats.org/package/2006/relationships"><Relationship Id="rId1" Type="http://schemas.microsoft.com/office/2006/relationships/activeXControlBinary" Target="activeX262.bin"/></Relationships>
</file>

<file path=xl/activeX/_rels/activeX263.xml.rels><?xml version="1.0" encoding="UTF-8" standalone="yes"?>
<Relationships xmlns="http://schemas.openxmlformats.org/package/2006/relationships"><Relationship Id="rId1" Type="http://schemas.microsoft.com/office/2006/relationships/activeXControlBinary" Target="activeX263.bin"/></Relationships>
</file>

<file path=xl/activeX/_rels/activeX264.xml.rels><?xml version="1.0" encoding="UTF-8" standalone="yes"?>
<Relationships xmlns="http://schemas.openxmlformats.org/package/2006/relationships"><Relationship Id="rId1" Type="http://schemas.microsoft.com/office/2006/relationships/activeXControlBinary" Target="activeX264.bin"/></Relationships>
</file>

<file path=xl/activeX/_rels/activeX265.xml.rels><?xml version="1.0" encoding="UTF-8" standalone="yes"?>
<Relationships xmlns="http://schemas.openxmlformats.org/package/2006/relationships"><Relationship Id="rId1" Type="http://schemas.microsoft.com/office/2006/relationships/activeXControlBinary" Target="activeX265.bin"/></Relationships>
</file>

<file path=xl/activeX/_rels/activeX266.xml.rels><?xml version="1.0" encoding="UTF-8" standalone="yes"?>
<Relationships xmlns="http://schemas.openxmlformats.org/package/2006/relationships"><Relationship Id="rId1" Type="http://schemas.microsoft.com/office/2006/relationships/activeXControlBinary" Target="activeX266.bin"/></Relationships>
</file>

<file path=xl/activeX/_rels/activeX267.xml.rels><?xml version="1.0" encoding="UTF-8" standalone="yes"?>
<Relationships xmlns="http://schemas.openxmlformats.org/package/2006/relationships"><Relationship Id="rId1" Type="http://schemas.microsoft.com/office/2006/relationships/activeXControlBinary" Target="activeX267.bin"/></Relationships>
</file>

<file path=xl/activeX/_rels/activeX268.xml.rels><?xml version="1.0" encoding="UTF-8" standalone="yes"?>
<Relationships xmlns="http://schemas.openxmlformats.org/package/2006/relationships"><Relationship Id="rId1" Type="http://schemas.microsoft.com/office/2006/relationships/activeXControlBinary" Target="activeX268.bin"/></Relationships>
</file>

<file path=xl/activeX/_rels/activeX269.xml.rels><?xml version="1.0" encoding="UTF-8" standalone="yes"?>
<Relationships xmlns="http://schemas.openxmlformats.org/package/2006/relationships"><Relationship Id="rId1" Type="http://schemas.microsoft.com/office/2006/relationships/activeXControlBinary" Target="activeX269.bin"/></Relationships>
</file>

<file path=xl/activeX/_rels/activeX270.xml.rels><?xml version="1.0" encoding="UTF-8" standalone="yes"?>
<Relationships xmlns="http://schemas.openxmlformats.org/package/2006/relationships"><Relationship Id="rId1" Type="http://schemas.microsoft.com/office/2006/relationships/activeXControlBinary" Target="activeX270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393266</xdr:colOff>
      <xdr:row>22</xdr:row>
      <xdr:rowOff>0</xdr:rowOff>
    </xdr:from>
    <xdr:to>
      <xdr:col>31</xdr:col>
      <xdr:colOff>570441</xdr:colOff>
      <xdr:row>41</xdr:row>
      <xdr:rowOff>34923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8059892" y="4572002"/>
          <a:ext cx="5701675" cy="5612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73" name="Control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75" name="Control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77" name="Control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79" name="Control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81" name="Control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83" name="Control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85" name="Control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87" name="Control 15" hidden="1">
              <a:extLst>
                <a:ext uri="{63B3BB69-23CF-44E3-9099-C40C66FF867C}">
                  <a14:compatExt spid="_x0000_s3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89" name="Control 17" hidden="1">
              <a:extLst>
                <a:ext uri="{63B3BB69-23CF-44E3-9099-C40C66FF867C}">
                  <a14:compatExt spid="_x0000_s30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91" name="Control 19" hidden="1">
              <a:extLst>
                <a:ext uri="{63B3BB69-23CF-44E3-9099-C40C66FF867C}">
                  <a14:compatExt spid="_x0000_s3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93" name="Control 21" hidden="1">
              <a:extLst>
                <a:ext uri="{63B3BB69-23CF-44E3-9099-C40C66FF867C}">
                  <a14:compatExt spid="_x0000_s3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94" name="Control 22" hidden="1">
              <a:extLst>
                <a:ext uri="{63B3BB69-23CF-44E3-9099-C40C66FF867C}">
                  <a14:compatExt spid="_x0000_s3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95" name="Control 23" hidden="1">
              <a:extLst>
                <a:ext uri="{63B3BB69-23CF-44E3-9099-C40C66FF867C}">
                  <a14:compatExt spid="_x0000_s3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97" name="Control 25" hidden="1">
              <a:extLst>
                <a:ext uri="{63B3BB69-23CF-44E3-9099-C40C66FF867C}">
                  <a14:compatExt spid="_x0000_s3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099" name="Control 27" hidden="1">
              <a:extLst>
                <a:ext uri="{63B3BB69-23CF-44E3-9099-C40C66FF867C}">
                  <a14:compatExt spid="_x0000_s3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00" name="Control 28" hidden="1">
              <a:extLst>
                <a:ext uri="{63B3BB69-23CF-44E3-9099-C40C66FF867C}">
                  <a14:compatExt spid="_x0000_s3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02" name="Control 30" hidden="1">
              <a:extLst>
                <a:ext uri="{63B3BB69-23CF-44E3-9099-C40C66FF867C}">
                  <a14:compatExt spid="_x0000_s3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04" name="Control 32" hidden="1">
              <a:extLst>
                <a:ext uri="{63B3BB69-23CF-44E3-9099-C40C66FF867C}">
                  <a14:compatExt spid="_x0000_s3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05" name="Control 33" hidden="1">
              <a:extLst>
                <a:ext uri="{63B3BB69-23CF-44E3-9099-C40C66FF867C}">
                  <a14:compatExt spid="_x0000_s3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06" name="Control 34" hidden="1">
              <a:extLst>
                <a:ext uri="{63B3BB69-23CF-44E3-9099-C40C66FF867C}">
                  <a14:compatExt spid="_x0000_s3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07" name="Control 35" hidden="1">
              <a:extLst>
                <a:ext uri="{63B3BB69-23CF-44E3-9099-C40C66FF867C}">
                  <a14:compatExt spid="_x0000_s3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09" name="Control 37" hidden="1">
              <a:extLst>
                <a:ext uri="{63B3BB69-23CF-44E3-9099-C40C66FF867C}">
                  <a14:compatExt spid="_x0000_s3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11" name="Control 39" hidden="1">
              <a:extLst>
                <a:ext uri="{63B3BB69-23CF-44E3-9099-C40C66FF867C}">
                  <a14:compatExt spid="_x0000_s3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12" name="Control 40" hidden="1">
              <a:extLst>
                <a:ext uri="{63B3BB69-23CF-44E3-9099-C40C66FF867C}">
                  <a14:compatExt spid="_x0000_s3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13" name="Control 41" hidden="1">
              <a:extLst>
                <a:ext uri="{63B3BB69-23CF-44E3-9099-C40C66FF867C}">
                  <a14:compatExt spid="_x0000_s3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15" name="Control 43" hidden="1">
              <a:extLst>
                <a:ext uri="{63B3BB69-23CF-44E3-9099-C40C66FF867C}">
                  <a14:compatExt spid="_x0000_s3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16" name="Control 44" hidden="1">
              <a:extLst>
                <a:ext uri="{63B3BB69-23CF-44E3-9099-C40C66FF867C}">
                  <a14:compatExt spid="_x0000_s3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17" name="Control 45" hidden="1">
              <a:extLst>
                <a:ext uri="{63B3BB69-23CF-44E3-9099-C40C66FF867C}">
                  <a14:compatExt spid="_x0000_s3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19" name="Control 47" hidden="1">
              <a:extLst>
                <a:ext uri="{63B3BB69-23CF-44E3-9099-C40C66FF867C}">
                  <a14:compatExt spid="_x0000_s3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21" name="Control 49" hidden="1">
              <a:extLst>
                <a:ext uri="{63B3BB69-23CF-44E3-9099-C40C66FF867C}">
                  <a14:compatExt spid="_x0000_s3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22" name="Control 50" hidden="1">
              <a:extLst>
                <a:ext uri="{63B3BB69-23CF-44E3-9099-C40C66FF867C}">
                  <a14:compatExt spid="_x0000_s3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23" name="Control 51" hidden="1">
              <a:extLst>
                <a:ext uri="{63B3BB69-23CF-44E3-9099-C40C66FF867C}">
                  <a14:compatExt spid="_x0000_s3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24" name="Control 52" hidden="1">
              <a:extLst>
                <a:ext uri="{63B3BB69-23CF-44E3-9099-C40C66FF867C}">
                  <a14:compatExt spid="_x0000_s3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25" name="Control 53" hidden="1">
              <a:extLst>
                <a:ext uri="{63B3BB69-23CF-44E3-9099-C40C66FF867C}">
                  <a14:compatExt spid="_x0000_s3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26" name="Control 54" hidden="1">
              <a:extLst>
                <a:ext uri="{63B3BB69-23CF-44E3-9099-C40C66FF867C}">
                  <a14:compatExt spid="_x0000_s3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27" name="Control 55" hidden="1">
              <a:extLst>
                <a:ext uri="{63B3BB69-23CF-44E3-9099-C40C66FF867C}">
                  <a14:compatExt spid="_x0000_s3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28" name="Control 56" hidden="1">
              <a:extLst>
                <a:ext uri="{63B3BB69-23CF-44E3-9099-C40C66FF867C}">
                  <a14:compatExt spid="_x0000_s3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30" name="Control 58" hidden="1">
              <a:extLst>
                <a:ext uri="{63B3BB69-23CF-44E3-9099-C40C66FF867C}">
                  <a14:compatExt spid="_x0000_s3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31" name="Control 59" hidden="1">
              <a:extLst>
                <a:ext uri="{63B3BB69-23CF-44E3-9099-C40C66FF867C}">
                  <a14:compatExt spid="_x0000_s3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33" name="Control 61" hidden="1">
              <a:extLst>
                <a:ext uri="{63B3BB69-23CF-44E3-9099-C40C66FF867C}">
                  <a14:compatExt spid="_x0000_s3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34" name="Control 62" hidden="1">
              <a:extLst>
                <a:ext uri="{63B3BB69-23CF-44E3-9099-C40C66FF867C}">
                  <a14:compatExt spid="_x0000_s3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36" name="Control 64" hidden="1">
              <a:extLst>
                <a:ext uri="{63B3BB69-23CF-44E3-9099-C40C66FF867C}">
                  <a14:compatExt spid="_x0000_s3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38" name="Control 66" hidden="1">
              <a:extLst>
                <a:ext uri="{63B3BB69-23CF-44E3-9099-C40C66FF867C}">
                  <a14:compatExt spid="_x0000_s3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39" name="Control 67" hidden="1">
              <a:extLst>
                <a:ext uri="{63B3BB69-23CF-44E3-9099-C40C66FF867C}">
                  <a14:compatExt spid="_x0000_s3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40" name="Control 68" hidden="1">
              <a:extLst>
                <a:ext uri="{63B3BB69-23CF-44E3-9099-C40C66FF867C}">
                  <a14:compatExt spid="_x0000_s3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41" name="Control 69" hidden="1">
              <a:extLst>
                <a:ext uri="{63B3BB69-23CF-44E3-9099-C40C66FF867C}">
                  <a14:compatExt spid="_x0000_s3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43" name="Control 71" hidden="1">
              <a:extLst>
                <a:ext uri="{63B3BB69-23CF-44E3-9099-C40C66FF867C}">
                  <a14:compatExt spid="_x0000_s3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44" name="Control 72" hidden="1">
              <a:extLst>
                <a:ext uri="{63B3BB69-23CF-44E3-9099-C40C66FF867C}">
                  <a14:compatExt spid="_x0000_s3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45" name="Control 73" hidden="1">
              <a:extLst>
                <a:ext uri="{63B3BB69-23CF-44E3-9099-C40C66FF867C}">
                  <a14:compatExt spid="_x0000_s3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46" name="Control 74" hidden="1">
              <a:extLst>
                <a:ext uri="{63B3BB69-23CF-44E3-9099-C40C66FF867C}">
                  <a14:compatExt spid="_x0000_s3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47" name="Control 75" hidden="1">
              <a:extLst>
                <a:ext uri="{63B3BB69-23CF-44E3-9099-C40C66FF867C}">
                  <a14:compatExt spid="_x0000_s3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49" name="Control 77" hidden="1">
              <a:extLst>
                <a:ext uri="{63B3BB69-23CF-44E3-9099-C40C66FF867C}">
                  <a14:compatExt spid="_x0000_s3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0" name="Control 78" hidden="1">
              <a:extLst>
                <a:ext uri="{63B3BB69-23CF-44E3-9099-C40C66FF867C}">
                  <a14:compatExt spid="_x0000_s3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1" name="Control 79" hidden="1">
              <a:extLst>
                <a:ext uri="{63B3BB69-23CF-44E3-9099-C40C66FF867C}">
                  <a14:compatExt spid="_x0000_s3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2" name="Control 80" hidden="1">
              <a:extLst>
                <a:ext uri="{63B3BB69-23CF-44E3-9099-C40C66FF867C}">
                  <a14:compatExt spid="_x0000_s3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3" name="Control 81" hidden="1">
              <a:extLst>
                <a:ext uri="{63B3BB69-23CF-44E3-9099-C40C66FF867C}">
                  <a14:compatExt spid="_x0000_s3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4" name="Control 82" hidden="1">
              <a:extLst>
                <a:ext uri="{63B3BB69-23CF-44E3-9099-C40C66FF867C}">
                  <a14:compatExt spid="_x0000_s3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5" name="Control 83" hidden="1">
              <a:extLst>
                <a:ext uri="{63B3BB69-23CF-44E3-9099-C40C66FF867C}">
                  <a14:compatExt spid="_x0000_s3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6" name="Control 84" hidden="1">
              <a:extLst>
                <a:ext uri="{63B3BB69-23CF-44E3-9099-C40C66FF867C}">
                  <a14:compatExt spid="_x0000_s3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7" name="Control 85" hidden="1">
              <a:extLst>
                <a:ext uri="{63B3BB69-23CF-44E3-9099-C40C66FF867C}">
                  <a14:compatExt spid="_x0000_s3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8" name="Control 86" hidden="1">
              <a:extLst>
                <a:ext uri="{63B3BB69-23CF-44E3-9099-C40C66FF867C}">
                  <a14:compatExt spid="_x0000_s3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59" name="Control 87" hidden="1">
              <a:extLst>
                <a:ext uri="{63B3BB69-23CF-44E3-9099-C40C66FF867C}">
                  <a14:compatExt spid="_x0000_s3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0" name="Control 88" hidden="1">
              <a:extLst>
                <a:ext uri="{63B3BB69-23CF-44E3-9099-C40C66FF867C}">
                  <a14:compatExt spid="_x0000_s3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1" name="Control 89" hidden="1">
              <a:extLst>
                <a:ext uri="{63B3BB69-23CF-44E3-9099-C40C66FF867C}">
                  <a14:compatExt spid="_x0000_s3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2" name="Control 90" hidden="1">
              <a:extLst>
                <a:ext uri="{63B3BB69-23CF-44E3-9099-C40C66FF867C}">
                  <a14:compatExt spid="_x0000_s3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3" name="Control 91" hidden="1">
              <a:extLst>
                <a:ext uri="{63B3BB69-23CF-44E3-9099-C40C66FF867C}">
                  <a14:compatExt spid="_x0000_s3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4" name="Control 92" hidden="1">
              <a:extLst>
                <a:ext uri="{63B3BB69-23CF-44E3-9099-C40C66FF867C}">
                  <a14:compatExt spid="_x0000_s3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5" name="Control 93" hidden="1">
              <a:extLst>
                <a:ext uri="{63B3BB69-23CF-44E3-9099-C40C66FF867C}">
                  <a14:compatExt spid="_x0000_s3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6" name="Control 94" hidden="1">
              <a:extLst>
                <a:ext uri="{63B3BB69-23CF-44E3-9099-C40C66FF867C}">
                  <a14:compatExt spid="_x0000_s3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7" name="Control 95" hidden="1">
              <a:extLst>
                <a:ext uri="{63B3BB69-23CF-44E3-9099-C40C66FF867C}">
                  <a14:compatExt spid="_x0000_s3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8" name="Control 96" hidden="1">
              <a:extLst>
                <a:ext uri="{63B3BB69-23CF-44E3-9099-C40C66FF867C}">
                  <a14:compatExt spid="_x0000_s3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69" name="Control 97" hidden="1">
              <a:extLst>
                <a:ext uri="{63B3BB69-23CF-44E3-9099-C40C66FF867C}">
                  <a14:compatExt spid="_x0000_s3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70" name="Control 98" hidden="1">
              <a:extLst>
                <a:ext uri="{63B3BB69-23CF-44E3-9099-C40C66FF867C}">
                  <a14:compatExt spid="_x0000_s3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71" name="Control 99" hidden="1">
              <a:extLst>
                <a:ext uri="{63B3BB69-23CF-44E3-9099-C40C66FF867C}">
                  <a14:compatExt spid="_x0000_s3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72" name="Control 100" hidden="1">
              <a:extLst>
                <a:ext uri="{63B3BB69-23CF-44E3-9099-C40C66FF867C}">
                  <a14:compatExt spid="_x0000_s3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74" name="Control 102" hidden="1">
              <a:extLst>
                <a:ext uri="{63B3BB69-23CF-44E3-9099-C40C66FF867C}">
                  <a14:compatExt spid="_x0000_s3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75" name="Control 103" hidden="1">
              <a:extLst>
                <a:ext uri="{63B3BB69-23CF-44E3-9099-C40C66FF867C}">
                  <a14:compatExt spid="_x0000_s3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76" name="Control 104" hidden="1">
              <a:extLst>
                <a:ext uri="{63B3BB69-23CF-44E3-9099-C40C66FF867C}">
                  <a14:compatExt spid="_x0000_s3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77" name="Control 105" hidden="1">
              <a:extLst>
                <a:ext uri="{63B3BB69-23CF-44E3-9099-C40C66FF867C}">
                  <a14:compatExt spid="_x0000_s3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78" name="Control 106" hidden="1">
              <a:extLst>
                <a:ext uri="{63B3BB69-23CF-44E3-9099-C40C66FF867C}">
                  <a14:compatExt spid="_x0000_s3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0" name="Control 108" hidden="1">
              <a:extLst>
                <a:ext uri="{63B3BB69-23CF-44E3-9099-C40C66FF867C}">
                  <a14:compatExt spid="_x0000_s3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1" name="Control 109" hidden="1">
              <a:extLst>
                <a:ext uri="{63B3BB69-23CF-44E3-9099-C40C66FF867C}">
                  <a14:compatExt spid="_x0000_s3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2" name="Control 110" hidden="1">
              <a:extLst>
                <a:ext uri="{63B3BB69-23CF-44E3-9099-C40C66FF867C}">
                  <a14:compatExt spid="_x0000_s3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3" name="Control 111" hidden="1">
              <a:extLst>
                <a:ext uri="{63B3BB69-23CF-44E3-9099-C40C66FF867C}">
                  <a14:compatExt spid="_x0000_s3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4" name="Control 112" hidden="1">
              <a:extLst>
                <a:ext uri="{63B3BB69-23CF-44E3-9099-C40C66FF867C}">
                  <a14:compatExt spid="_x0000_s3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5" name="Control 113" hidden="1">
              <a:extLst>
                <a:ext uri="{63B3BB69-23CF-44E3-9099-C40C66FF867C}">
                  <a14:compatExt spid="_x0000_s3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6" name="Control 114" hidden="1">
              <a:extLst>
                <a:ext uri="{63B3BB69-23CF-44E3-9099-C40C66FF867C}">
                  <a14:compatExt spid="_x0000_s3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7" name="Control 115" hidden="1">
              <a:extLst>
                <a:ext uri="{63B3BB69-23CF-44E3-9099-C40C66FF867C}">
                  <a14:compatExt spid="_x0000_s3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8" name="Control 116" hidden="1">
              <a:extLst>
                <a:ext uri="{63B3BB69-23CF-44E3-9099-C40C66FF867C}">
                  <a14:compatExt spid="_x0000_s3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89" name="Control 117" hidden="1">
              <a:extLst>
                <a:ext uri="{63B3BB69-23CF-44E3-9099-C40C66FF867C}">
                  <a14:compatExt spid="_x0000_s3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90" name="Control 118" hidden="1">
              <a:extLst>
                <a:ext uri="{63B3BB69-23CF-44E3-9099-C40C66FF867C}">
                  <a14:compatExt spid="_x0000_s3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91" name="Control 119" hidden="1">
              <a:extLst>
                <a:ext uri="{63B3BB69-23CF-44E3-9099-C40C66FF867C}">
                  <a14:compatExt spid="_x0000_s3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92" name="Control 120" hidden="1">
              <a:extLst>
                <a:ext uri="{63B3BB69-23CF-44E3-9099-C40C66FF867C}">
                  <a14:compatExt spid="_x0000_s3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93" name="Control 121" hidden="1">
              <a:extLst>
                <a:ext uri="{63B3BB69-23CF-44E3-9099-C40C66FF867C}">
                  <a14:compatExt spid="_x0000_s3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94" name="Control 122" hidden="1">
              <a:extLst>
                <a:ext uri="{63B3BB69-23CF-44E3-9099-C40C66FF867C}">
                  <a14:compatExt spid="_x0000_s3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96" name="Control 124" hidden="1">
              <a:extLst>
                <a:ext uri="{63B3BB69-23CF-44E3-9099-C40C66FF867C}">
                  <a14:compatExt spid="_x0000_s3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97" name="Control 125" hidden="1">
              <a:extLst>
                <a:ext uri="{63B3BB69-23CF-44E3-9099-C40C66FF867C}">
                  <a14:compatExt spid="_x0000_s3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98" name="Control 126" hidden="1">
              <a:extLst>
                <a:ext uri="{63B3BB69-23CF-44E3-9099-C40C66FF867C}">
                  <a14:compatExt spid="_x0000_s3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199" name="Control 127" hidden="1">
              <a:extLst>
                <a:ext uri="{63B3BB69-23CF-44E3-9099-C40C66FF867C}">
                  <a14:compatExt spid="_x0000_s3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00" name="Control 128" hidden="1">
              <a:extLst>
                <a:ext uri="{63B3BB69-23CF-44E3-9099-C40C66FF867C}">
                  <a14:compatExt spid="_x0000_s3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02" name="Control 130" hidden="1">
              <a:extLst>
                <a:ext uri="{63B3BB69-23CF-44E3-9099-C40C66FF867C}">
                  <a14:compatExt spid="_x0000_s3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03" name="Control 131" hidden="1">
              <a:extLst>
                <a:ext uri="{63B3BB69-23CF-44E3-9099-C40C66FF867C}">
                  <a14:compatExt spid="_x0000_s3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04" name="Control 132" hidden="1">
              <a:extLst>
                <a:ext uri="{63B3BB69-23CF-44E3-9099-C40C66FF867C}">
                  <a14:compatExt spid="_x0000_s3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05" name="Control 133" hidden="1">
              <a:extLst>
                <a:ext uri="{63B3BB69-23CF-44E3-9099-C40C66FF867C}">
                  <a14:compatExt spid="_x0000_s3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06" name="Control 134" hidden="1">
              <a:extLst>
                <a:ext uri="{63B3BB69-23CF-44E3-9099-C40C66FF867C}">
                  <a14:compatExt spid="_x0000_s3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07" name="Control 135" hidden="1">
              <a:extLst>
                <a:ext uri="{63B3BB69-23CF-44E3-9099-C40C66FF867C}">
                  <a14:compatExt spid="_x0000_s3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09" name="Control 137" hidden="1">
              <a:extLst>
                <a:ext uri="{63B3BB69-23CF-44E3-9099-C40C66FF867C}">
                  <a14:compatExt spid="_x0000_s3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10" name="Control 138" hidden="1">
              <a:extLst>
                <a:ext uri="{63B3BB69-23CF-44E3-9099-C40C66FF867C}">
                  <a14:compatExt spid="_x0000_s3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11" name="Control 139" hidden="1">
              <a:extLst>
                <a:ext uri="{63B3BB69-23CF-44E3-9099-C40C66FF867C}">
                  <a14:compatExt spid="_x0000_s3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12" name="Control 140" hidden="1">
              <a:extLst>
                <a:ext uri="{63B3BB69-23CF-44E3-9099-C40C66FF867C}">
                  <a14:compatExt spid="_x0000_s3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13" name="Control 141" hidden="1">
              <a:extLst>
                <a:ext uri="{63B3BB69-23CF-44E3-9099-C40C66FF867C}">
                  <a14:compatExt spid="_x0000_s3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14" name="Control 142" hidden="1">
              <a:extLst>
                <a:ext uri="{63B3BB69-23CF-44E3-9099-C40C66FF867C}">
                  <a14:compatExt spid="_x0000_s3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16" name="Control 144" hidden="1">
              <a:extLst>
                <a:ext uri="{63B3BB69-23CF-44E3-9099-C40C66FF867C}">
                  <a14:compatExt spid="_x0000_s3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18" name="Control 146" hidden="1">
              <a:extLst>
                <a:ext uri="{63B3BB69-23CF-44E3-9099-C40C66FF867C}">
                  <a14:compatExt spid="_x0000_s3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19" name="Control 147" hidden="1">
              <a:extLst>
                <a:ext uri="{63B3BB69-23CF-44E3-9099-C40C66FF867C}">
                  <a14:compatExt spid="_x0000_s3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20" name="Control 148" hidden="1">
              <a:extLst>
                <a:ext uri="{63B3BB69-23CF-44E3-9099-C40C66FF867C}">
                  <a14:compatExt spid="_x0000_s3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21" name="Control 149" hidden="1">
              <a:extLst>
                <a:ext uri="{63B3BB69-23CF-44E3-9099-C40C66FF867C}">
                  <a14:compatExt spid="_x0000_s3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22" name="Control 150" hidden="1">
              <a:extLst>
                <a:ext uri="{63B3BB69-23CF-44E3-9099-C40C66FF867C}">
                  <a14:compatExt spid="_x0000_s3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23" name="Control 151" hidden="1">
              <a:extLst>
                <a:ext uri="{63B3BB69-23CF-44E3-9099-C40C66FF867C}">
                  <a14:compatExt spid="_x0000_s3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24" name="Control 152" hidden="1">
              <a:extLst>
                <a:ext uri="{63B3BB69-23CF-44E3-9099-C40C66FF867C}">
                  <a14:compatExt spid="_x0000_s3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25" name="Control 153" hidden="1">
              <a:extLst>
                <a:ext uri="{63B3BB69-23CF-44E3-9099-C40C66FF867C}">
                  <a14:compatExt spid="_x0000_s32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26" name="Control 154" hidden="1">
              <a:extLst>
                <a:ext uri="{63B3BB69-23CF-44E3-9099-C40C66FF867C}">
                  <a14:compatExt spid="_x0000_s32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27" name="Control 155" hidden="1">
              <a:extLst>
                <a:ext uri="{63B3BB69-23CF-44E3-9099-C40C66FF867C}">
                  <a14:compatExt spid="_x0000_s32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28" name="Control 156" hidden="1">
              <a:extLst>
                <a:ext uri="{63B3BB69-23CF-44E3-9099-C40C66FF867C}">
                  <a14:compatExt spid="_x0000_s32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0" name="Control 158" hidden="1">
              <a:extLst>
                <a:ext uri="{63B3BB69-23CF-44E3-9099-C40C66FF867C}">
                  <a14:compatExt spid="_x0000_s32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1" name="Control 159" hidden="1">
              <a:extLst>
                <a:ext uri="{63B3BB69-23CF-44E3-9099-C40C66FF867C}">
                  <a14:compatExt spid="_x0000_s32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2" name="Control 160" hidden="1">
              <a:extLst>
                <a:ext uri="{63B3BB69-23CF-44E3-9099-C40C66FF867C}">
                  <a14:compatExt spid="_x0000_s32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3" name="Control 161" hidden="1">
              <a:extLst>
                <a:ext uri="{63B3BB69-23CF-44E3-9099-C40C66FF867C}">
                  <a14:compatExt spid="_x0000_s32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4" name="Control 162" hidden="1">
              <a:extLst>
                <a:ext uri="{63B3BB69-23CF-44E3-9099-C40C66FF867C}">
                  <a14:compatExt spid="_x0000_s32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5" name="Control 163" hidden="1">
              <a:extLst>
                <a:ext uri="{63B3BB69-23CF-44E3-9099-C40C66FF867C}">
                  <a14:compatExt spid="_x0000_s32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6" name="Control 164" hidden="1">
              <a:extLst>
                <a:ext uri="{63B3BB69-23CF-44E3-9099-C40C66FF867C}">
                  <a14:compatExt spid="_x0000_s32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7" name="Control 165" hidden="1">
              <a:extLst>
                <a:ext uri="{63B3BB69-23CF-44E3-9099-C40C66FF867C}">
                  <a14:compatExt spid="_x0000_s32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8" name="Control 166" hidden="1">
              <a:extLst>
                <a:ext uri="{63B3BB69-23CF-44E3-9099-C40C66FF867C}">
                  <a14:compatExt spid="_x0000_s32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39" name="Control 167" hidden="1">
              <a:extLst>
                <a:ext uri="{63B3BB69-23CF-44E3-9099-C40C66FF867C}">
                  <a14:compatExt spid="_x0000_s32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40" name="Control 168" hidden="1">
              <a:extLst>
                <a:ext uri="{63B3BB69-23CF-44E3-9099-C40C66FF867C}">
                  <a14:compatExt spid="_x0000_s32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41" name="Control 169" hidden="1">
              <a:extLst>
                <a:ext uri="{63B3BB69-23CF-44E3-9099-C40C66FF867C}">
                  <a14:compatExt spid="_x0000_s3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42" name="Control 170" hidden="1">
              <a:extLst>
                <a:ext uri="{63B3BB69-23CF-44E3-9099-C40C66FF867C}">
                  <a14:compatExt spid="_x0000_s3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43" name="Control 171" hidden="1">
              <a:extLst>
                <a:ext uri="{63B3BB69-23CF-44E3-9099-C40C66FF867C}">
                  <a14:compatExt spid="_x0000_s3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44" name="Control 172" hidden="1">
              <a:extLst>
                <a:ext uri="{63B3BB69-23CF-44E3-9099-C40C66FF867C}">
                  <a14:compatExt spid="_x0000_s32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46" name="Control 174" hidden="1">
              <a:extLst>
                <a:ext uri="{63B3BB69-23CF-44E3-9099-C40C66FF867C}">
                  <a14:compatExt spid="_x0000_s3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48" name="Control 176" hidden="1">
              <a:extLst>
                <a:ext uri="{63B3BB69-23CF-44E3-9099-C40C66FF867C}">
                  <a14:compatExt spid="_x0000_s3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49" name="Control 177" hidden="1">
              <a:extLst>
                <a:ext uri="{63B3BB69-23CF-44E3-9099-C40C66FF867C}">
                  <a14:compatExt spid="_x0000_s3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50" name="Control 178" hidden="1">
              <a:extLst>
                <a:ext uri="{63B3BB69-23CF-44E3-9099-C40C66FF867C}">
                  <a14:compatExt spid="_x0000_s3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52" name="Control 180" hidden="1">
              <a:extLst>
                <a:ext uri="{63B3BB69-23CF-44E3-9099-C40C66FF867C}">
                  <a14:compatExt spid="_x0000_s3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53" name="Control 181" hidden="1">
              <a:extLst>
                <a:ext uri="{63B3BB69-23CF-44E3-9099-C40C66FF867C}">
                  <a14:compatExt spid="_x0000_s32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54" name="Control 182" hidden="1">
              <a:extLst>
                <a:ext uri="{63B3BB69-23CF-44E3-9099-C40C66FF867C}">
                  <a14:compatExt spid="_x0000_s32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55" name="Control 183" hidden="1">
              <a:extLst>
                <a:ext uri="{63B3BB69-23CF-44E3-9099-C40C66FF867C}">
                  <a14:compatExt spid="_x0000_s32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56" name="Control 184" hidden="1">
              <a:extLst>
                <a:ext uri="{63B3BB69-23CF-44E3-9099-C40C66FF867C}">
                  <a14:compatExt spid="_x0000_s32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57" name="Control 185" hidden="1">
              <a:extLst>
                <a:ext uri="{63B3BB69-23CF-44E3-9099-C40C66FF867C}">
                  <a14:compatExt spid="_x0000_s32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59" name="Control 187" hidden="1">
              <a:extLst>
                <a:ext uri="{63B3BB69-23CF-44E3-9099-C40C66FF867C}">
                  <a14:compatExt spid="_x0000_s32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60" name="Control 188" hidden="1">
              <a:extLst>
                <a:ext uri="{63B3BB69-23CF-44E3-9099-C40C66FF867C}">
                  <a14:compatExt spid="_x0000_s32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61" name="Control 189" hidden="1">
              <a:extLst>
                <a:ext uri="{63B3BB69-23CF-44E3-9099-C40C66FF867C}">
                  <a14:compatExt spid="_x0000_s32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62" name="Control 190" hidden="1">
              <a:extLst>
                <a:ext uri="{63B3BB69-23CF-44E3-9099-C40C66FF867C}">
                  <a14:compatExt spid="_x0000_s32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64" name="Control 192" hidden="1">
              <a:extLst>
                <a:ext uri="{63B3BB69-23CF-44E3-9099-C40C66FF867C}">
                  <a14:compatExt spid="_x0000_s3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65" name="Control 193" hidden="1">
              <a:extLst>
                <a:ext uri="{63B3BB69-23CF-44E3-9099-C40C66FF867C}">
                  <a14:compatExt spid="_x0000_s3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66" name="Control 194" hidden="1">
              <a:extLst>
                <a:ext uri="{63B3BB69-23CF-44E3-9099-C40C66FF867C}">
                  <a14:compatExt spid="_x0000_s3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67" name="Control 195" hidden="1">
              <a:extLst>
                <a:ext uri="{63B3BB69-23CF-44E3-9099-C40C66FF867C}">
                  <a14:compatExt spid="_x0000_s3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68" name="Control 196" hidden="1">
              <a:extLst>
                <a:ext uri="{63B3BB69-23CF-44E3-9099-C40C66FF867C}">
                  <a14:compatExt spid="_x0000_s3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69" name="Control 197" hidden="1">
              <a:extLst>
                <a:ext uri="{63B3BB69-23CF-44E3-9099-C40C66FF867C}">
                  <a14:compatExt spid="_x0000_s3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70" name="Control 198" hidden="1">
              <a:extLst>
                <a:ext uri="{63B3BB69-23CF-44E3-9099-C40C66FF867C}">
                  <a14:compatExt spid="_x0000_s3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71" name="Control 199" hidden="1">
              <a:extLst>
                <a:ext uri="{63B3BB69-23CF-44E3-9099-C40C66FF867C}">
                  <a14:compatExt spid="_x0000_s3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72" name="Control 200" hidden="1">
              <a:extLst>
                <a:ext uri="{63B3BB69-23CF-44E3-9099-C40C66FF867C}">
                  <a14:compatExt spid="_x0000_s32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73" name="Control 201" hidden="1">
              <a:extLst>
                <a:ext uri="{63B3BB69-23CF-44E3-9099-C40C66FF867C}">
                  <a14:compatExt spid="_x0000_s3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74" name="Control 202" hidden="1">
              <a:extLst>
                <a:ext uri="{63B3BB69-23CF-44E3-9099-C40C66FF867C}">
                  <a14:compatExt spid="_x0000_s3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75" name="Control 203" hidden="1">
              <a:extLst>
                <a:ext uri="{63B3BB69-23CF-44E3-9099-C40C66FF867C}">
                  <a14:compatExt spid="_x0000_s3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76" name="Control 204" hidden="1">
              <a:extLst>
                <a:ext uri="{63B3BB69-23CF-44E3-9099-C40C66FF867C}">
                  <a14:compatExt spid="_x0000_s3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78" name="Control 206" hidden="1">
              <a:extLst>
                <a:ext uri="{63B3BB69-23CF-44E3-9099-C40C66FF867C}">
                  <a14:compatExt spid="_x0000_s3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79" name="Control 207" hidden="1">
              <a:extLst>
                <a:ext uri="{63B3BB69-23CF-44E3-9099-C40C66FF867C}">
                  <a14:compatExt spid="_x0000_s32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0" name="Control 208" hidden="1">
              <a:extLst>
                <a:ext uri="{63B3BB69-23CF-44E3-9099-C40C66FF867C}">
                  <a14:compatExt spid="_x0000_s3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1" name="Control 209" hidden="1">
              <a:extLst>
                <a:ext uri="{63B3BB69-23CF-44E3-9099-C40C66FF867C}">
                  <a14:compatExt spid="_x0000_s3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2" name="Control 210" hidden="1">
              <a:extLst>
                <a:ext uri="{63B3BB69-23CF-44E3-9099-C40C66FF867C}">
                  <a14:compatExt spid="_x0000_s3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3" name="Control 211" hidden="1">
              <a:extLst>
                <a:ext uri="{63B3BB69-23CF-44E3-9099-C40C66FF867C}">
                  <a14:compatExt spid="_x0000_s3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4" name="Control 212" hidden="1">
              <a:extLst>
                <a:ext uri="{63B3BB69-23CF-44E3-9099-C40C66FF867C}">
                  <a14:compatExt spid="_x0000_s32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5" name="Control 213" hidden="1">
              <a:extLst>
                <a:ext uri="{63B3BB69-23CF-44E3-9099-C40C66FF867C}">
                  <a14:compatExt spid="_x0000_s3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6" name="Control 214" hidden="1">
              <a:extLst>
                <a:ext uri="{63B3BB69-23CF-44E3-9099-C40C66FF867C}">
                  <a14:compatExt spid="_x0000_s3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7" name="Control 215" hidden="1">
              <a:extLst>
                <a:ext uri="{63B3BB69-23CF-44E3-9099-C40C66FF867C}">
                  <a14:compatExt spid="_x0000_s3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8" name="Control 216" hidden="1">
              <a:extLst>
                <a:ext uri="{63B3BB69-23CF-44E3-9099-C40C66FF867C}">
                  <a14:compatExt spid="_x0000_s32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89" name="Control 217" hidden="1">
              <a:extLst>
                <a:ext uri="{63B3BB69-23CF-44E3-9099-C40C66FF867C}">
                  <a14:compatExt spid="_x0000_s3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91" name="Control 219" hidden="1">
              <a:extLst>
                <a:ext uri="{63B3BB69-23CF-44E3-9099-C40C66FF867C}">
                  <a14:compatExt spid="_x0000_s32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92" name="Control 220" hidden="1">
              <a:extLst>
                <a:ext uri="{63B3BB69-23CF-44E3-9099-C40C66FF867C}">
                  <a14:compatExt spid="_x0000_s32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93" name="Control 221" hidden="1">
              <a:extLst>
                <a:ext uri="{63B3BB69-23CF-44E3-9099-C40C66FF867C}">
                  <a14:compatExt spid="_x0000_s32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94" name="Control 222" hidden="1">
              <a:extLst>
                <a:ext uri="{63B3BB69-23CF-44E3-9099-C40C66FF867C}">
                  <a14:compatExt spid="_x0000_s3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95" name="Control 223" hidden="1">
              <a:extLst>
                <a:ext uri="{63B3BB69-23CF-44E3-9099-C40C66FF867C}">
                  <a14:compatExt spid="_x0000_s32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97" name="Control 225" hidden="1">
              <a:extLst>
                <a:ext uri="{63B3BB69-23CF-44E3-9099-C40C66FF867C}">
                  <a14:compatExt spid="_x0000_s32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299" name="Control 227" hidden="1">
              <a:extLst>
                <a:ext uri="{63B3BB69-23CF-44E3-9099-C40C66FF867C}">
                  <a14:compatExt spid="_x0000_s32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00" name="Control 228" hidden="1">
              <a:extLst>
                <a:ext uri="{63B3BB69-23CF-44E3-9099-C40C66FF867C}">
                  <a14:compatExt spid="_x0000_s33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02" name="Control 230" hidden="1">
              <a:extLst>
                <a:ext uri="{63B3BB69-23CF-44E3-9099-C40C66FF867C}">
                  <a14:compatExt spid="_x0000_s33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03" name="Control 231" hidden="1">
              <a:extLst>
                <a:ext uri="{63B3BB69-23CF-44E3-9099-C40C66FF867C}">
                  <a14:compatExt spid="_x0000_s33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04" name="Control 232" hidden="1">
              <a:extLst>
                <a:ext uri="{63B3BB69-23CF-44E3-9099-C40C66FF867C}">
                  <a14:compatExt spid="_x0000_s33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05" name="Control 233" hidden="1">
              <a:extLst>
                <a:ext uri="{63B3BB69-23CF-44E3-9099-C40C66FF867C}">
                  <a14:compatExt spid="_x0000_s33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07" name="Control 235" hidden="1">
              <a:extLst>
                <a:ext uri="{63B3BB69-23CF-44E3-9099-C40C66FF867C}">
                  <a14:compatExt spid="_x0000_s33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08" name="Control 236" hidden="1">
              <a:extLst>
                <a:ext uri="{63B3BB69-23CF-44E3-9099-C40C66FF867C}">
                  <a14:compatExt spid="_x0000_s33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09" name="Control 237" hidden="1">
              <a:extLst>
                <a:ext uri="{63B3BB69-23CF-44E3-9099-C40C66FF867C}">
                  <a14:compatExt spid="_x0000_s33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10" name="Control 238" hidden="1">
              <a:extLst>
                <a:ext uri="{63B3BB69-23CF-44E3-9099-C40C66FF867C}">
                  <a14:compatExt spid="_x0000_s33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11" name="Control 239" hidden="1">
              <a:extLst>
                <a:ext uri="{63B3BB69-23CF-44E3-9099-C40C66FF867C}">
                  <a14:compatExt spid="_x0000_s33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12" name="Control 240" hidden="1">
              <a:extLst>
                <a:ext uri="{63B3BB69-23CF-44E3-9099-C40C66FF867C}">
                  <a14:compatExt spid="_x0000_s33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13" name="Control 241" hidden="1">
              <a:extLst>
                <a:ext uri="{63B3BB69-23CF-44E3-9099-C40C66FF867C}">
                  <a14:compatExt spid="_x0000_s33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15" name="Control 243" hidden="1">
              <a:extLst>
                <a:ext uri="{63B3BB69-23CF-44E3-9099-C40C66FF867C}">
                  <a14:compatExt spid="_x0000_s33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17" name="Control 245" hidden="1">
              <a:extLst>
                <a:ext uri="{63B3BB69-23CF-44E3-9099-C40C66FF867C}">
                  <a14:compatExt spid="_x0000_s33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19" name="Control 247" hidden="1">
              <a:extLst>
                <a:ext uri="{63B3BB69-23CF-44E3-9099-C40C66FF867C}">
                  <a14:compatExt spid="_x0000_s33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21" name="Control 249" hidden="1">
              <a:extLst>
                <a:ext uri="{63B3BB69-23CF-44E3-9099-C40C66FF867C}">
                  <a14:compatExt spid="_x0000_s33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23" name="Control 251" hidden="1">
              <a:extLst>
                <a:ext uri="{63B3BB69-23CF-44E3-9099-C40C66FF867C}">
                  <a14:compatExt spid="_x0000_s33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25" name="Control 253" hidden="1">
              <a:extLst>
                <a:ext uri="{63B3BB69-23CF-44E3-9099-C40C66FF867C}">
                  <a14:compatExt spid="_x0000_s33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27" name="Control 255" hidden="1">
              <a:extLst>
                <a:ext uri="{63B3BB69-23CF-44E3-9099-C40C66FF867C}">
                  <a14:compatExt spid="_x0000_s33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29" name="Control 257" hidden="1">
              <a:extLst>
                <a:ext uri="{63B3BB69-23CF-44E3-9099-C40C66FF867C}">
                  <a14:compatExt spid="_x0000_s33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31" name="Control 259" hidden="1">
              <a:extLst>
                <a:ext uri="{63B3BB69-23CF-44E3-9099-C40C66FF867C}">
                  <a14:compatExt spid="_x0000_s33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32" name="Control 260" hidden="1">
              <a:extLst>
                <a:ext uri="{63B3BB69-23CF-44E3-9099-C40C66FF867C}">
                  <a14:compatExt spid="_x0000_s33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33" name="Control 261" hidden="1">
              <a:extLst>
                <a:ext uri="{63B3BB69-23CF-44E3-9099-C40C66FF867C}">
                  <a14:compatExt spid="_x0000_s33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34" name="Control 262" hidden="1">
              <a:extLst>
                <a:ext uri="{63B3BB69-23CF-44E3-9099-C40C66FF867C}">
                  <a14:compatExt spid="_x0000_s33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35" name="Control 263" hidden="1">
              <a:extLst>
                <a:ext uri="{63B3BB69-23CF-44E3-9099-C40C66FF867C}">
                  <a14:compatExt spid="_x0000_s33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37" name="Control 265" hidden="1">
              <a:extLst>
                <a:ext uri="{63B3BB69-23CF-44E3-9099-C40C66FF867C}">
                  <a14:compatExt spid="_x0000_s3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38" name="Control 266" hidden="1">
              <a:extLst>
                <a:ext uri="{63B3BB69-23CF-44E3-9099-C40C66FF867C}">
                  <a14:compatExt spid="_x0000_s33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40" name="Control 268" hidden="1">
              <a:extLst>
                <a:ext uri="{63B3BB69-23CF-44E3-9099-C40C66FF867C}">
                  <a14:compatExt spid="_x0000_s33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42" name="Control 270" hidden="1">
              <a:extLst>
                <a:ext uri="{63B3BB69-23CF-44E3-9099-C40C66FF867C}">
                  <a14:compatExt spid="_x0000_s33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43" name="Control 271" hidden="1">
              <a:extLst>
                <a:ext uri="{63B3BB69-23CF-44E3-9099-C40C66FF867C}">
                  <a14:compatExt spid="_x0000_s33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44" name="Control 272" hidden="1">
              <a:extLst>
                <a:ext uri="{63B3BB69-23CF-44E3-9099-C40C66FF867C}">
                  <a14:compatExt spid="_x0000_s33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45" name="Control 273" hidden="1">
              <a:extLst>
                <a:ext uri="{63B3BB69-23CF-44E3-9099-C40C66FF867C}">
                  <a14:compatExt spid="_x0000_s33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46" name="Control 274" hidden="1">
              <a:extLst>
                <a:ext uri="{63B3BB69-23CF-44E3-9099-C40C66FF867C}">
                  <a14:compatExt spid="_x0000_s33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47" name="Control 275" hidden="1">
              <a:extLst>
                <a:ext uri="{63B3BB69-23CF-44E3-9099-C40C66FF867C}">
                  <a14:compatExt spid="_x0000_s33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49" name="Control 277" hidden="1">
              <a:extLst>
                <a:ext uri="{63B3BB69-23CF-44E3-9099-C40C66FF867C}">
                  <a14:compatExt spid="_x0000_s33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50" name="Control 278" hidden="1">
              <a:extLst>
                <a:ext uri="{63B3BB69-23CF-44E3-9099-C40C66FF867C}">
                  <a14:compatExt spid="_x0000_s33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52" name="Control 280" hidden="1">
              <a:extLst>
                <a:ext uri="{63B3BB69-23CF-44E3-9099-C40C66FF867C}">
                  <a14:compatExt spid="_x0000_s33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53" name="Control 281" hidden="1">
              <a:extLst>
                <a:ext uri="{63B3BB69-23CF-44E3-9099-C40C66FF867C}">
                  <a14:compatExt spid="_x0000_s33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54" name="Control 282" hidden="1">
              <a:extLst>
                <a:ext uri="{63B3BB69-23CF-44E3-9099-C40C66FF867C}">
                  <a14:compatExt spid="_x0000_s33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56" name="Control 284" hidden="1">
              <a:extLst>
                <a:ext uri="{63B3BB69-23CF-44E3-9099-C40C66FF867C}">
                  <a14:compatExt spid="_x0000_s33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57" name="Control 285" hidden="1">
              <a:extLst>
                <a:ext uri="{63B3BB69-23CF-44E3-9099-C40C66FF867C}">
                  <a14:compatExt spid="_x0000_s33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58" name="Control 286" hidden="1">
              <a:extLst>
                <a:ext uri="{63B3BB69-23CF-44E3-9099-C40C66FF867C}">
                  <a14:compatExt spid="_x0000_s33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60" name="Control 288" hidden="1">
              <a:extLst>
                <a:ext uri="{63B3BB69-23CF-44E3-9099-C40C66FF867C}">
                  <a14:compatExt spid="_x0000_s33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61" name="Control 289" hidden="1">
              <a:extLst>
                <a:ext uri="{63B3BB69-23CF-44E3-9099-C40C66FF867C}">
                  <a14:compatExt spid="_x0000_s3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62" name="Control 290" hidden="1">
              <a:extLst>
                <a:ext uri="{63B3BB69-23CF-44E3-9099-C40C66FF867C}">
                  <a14:compatExt spid="_x0000_s33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64" name="Control 292" hidden="1">
              <a:extLst>
                <a:ext uri="{63B3BB69-23CF-44E3-9099-C40C66FF867C}">
                  <a14:compatExt spid="_x0000_s33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65" name="Control 293" hidden="1">
              <a:extLst>
                <a:ext uri="{63B3BB69-23CF-44E3-9099-C40C66FF867C}">
                  <a14:compatExt spid="_x0000_s33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66" name="Control 294" hidden="1">
              <a:extLst>
                <a:ext uri="{63B3BB69-23CF-44E3-9099-C40C66FF867C}">
                  <a14:compatExt spid="_x0000_s33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67" name="Control 295" hidden="1">
              <a:extLst>
                <a:ext uri="{63B3BB69-23CF-44E3-9099-C40C66FF867C}">
                  <a14:compatExt spid="_x0000_s33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68" name="Control 296" hidden="1">
              <a:extLst>
                <a:ext uri="{63B3BB69-23CF-44E3-9099-C40C66FF867C}">
                  <a14:compatExt spid="_x0000_s33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0" name="Control 298" hidden="1">
              <a:extLst>
                <a:ext uri="{63B3BB69-23CF-44E3-9099-C40C66FF867C}">
                  <a14:compatExt spid="_x0000_s33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1" name="Control 299" hidden="1">
              <a:extLst>
                <a:ext uri="{63B3BB69-23CF-44E3-9099-C40C66FF867C}">
                  <a14:compatExt spid="_x0000_s33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2" name="Control 300" hidden="1">
              <a:extLst>
                <a:ext uri="{63B3BB69-23CF-44E3-9099-C40C66FF867C}">
                  <a14:compatExt spid="_x0000_s33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3" name="Control 301" hidden="1">
              <a:extLst>
                <a:ext uri="{63B3BB69-23CF-44E3-9099-C40C66FF867C}">
                  <a14:compatExt spid="_x0000_s33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4" name="Control 302" hidden="1">
              <a:extLst>
                <a:ext uri="{63B3BB69-23CF-44E3-9099-C40C66FF867C}">
                  <a14:compatExt spid="_x0000_s33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5" name="Control 303" hidden="1">
              <a:extLst>
                <a:ext uri="{63B3BB69-23CF-44E3-9099-C40C66FF867C}">
                  <a14:compatExt spid="_x0000_s33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6" name="Control 304" hidden="1">
              <a:extLst>
                <a:ext uri="{63B3BB69-23CF-44E3-9099-C40C66FF867C}">
                  <a14:compatExt spid="_x0000_s33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7" name="Control 305" hidden="1">
              <a:extLst>
                <a:ext uri="{63B3BB69-23CF-44E3-9099-C40C66FF867C}">
                  <a14:compatExt spid="_x0000_s33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8" name="Control 306" hidden="1">
              <a:extLst>
                <a:ext uri="{63B3BB69-23CF-44E3-9099-C40C66FF867C}">
                  <a14:compatExt spid="_x0000_s33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79" name="Control 307" hidden="1">
              <a:extLst>
                <a:ext uri="{63B3BB69-23CF-44E3-9099-C40C66FF867C}">
                  <a14:compatExt spid="_x0000_s33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80" name="Control 308" hidden="1">
              <a:extLst>
                <a:ext uri="{63B3BB69-23CF-44E3-9099-C40C66FF867C}">
                  <a14:compatExt spid="_x0000_s33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82" name="Control 310" hidden="1">
              <a:extLst>
                <a:ext uri="{63B3BB69-23CF-44E3-9099-C40C66FF867C}">
                  <a14:compatExt spid="_x0000_s33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83" name="Control 311" hidden="1">
              <a:extLst>
                <a:ext uri="{63B3BB69-23CF-44E3-9099-C40C66FF867C}">
                  <a14:compatExt spid="_x0000_s33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84" name="Control 312" hidden="1">
              <a:extLst>
                <a:ext uri="{63B3BB69-23CF-44E3-9099-C40C66FF867C}">
                  <a14:compatExt spid="_x0000_s33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85" name="Control 313" hidden="1">
              <a:extLst>
                <a:ext uri="{63B3BB69-23CF-44E3-9099-C40C66FF867C}">
                  <a14:compatExt spid="_x0000_s33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86" name="Control 314" hidden="1">
              <a:extLst>
                <a:ext uri="{63B3BB69-23CF-44E3-9099-C40C66FF867C}">
                  <a14:compatExt spid="_x0000_s33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87" name="Control 315" hidden="1">
              <a:extLst>
                <a:ext uri="{63B3BB69-23CF-44E3-9099-C40C66FF867C}">
                  <a14:compatExt spid="_x0000_s33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89" name="Control 317" hidden="1">
              <a:extLst>
                <a:ext uri="{63B3BB69-23CF-44E3-9099-C40C66FF867C}">
                  <a14:compatExt spid="_x0000_s33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90" name="Control 318" hidden="1">
              <a:extLst>
                <a:ext uri="{63B3BB69-23CF-44E3-9099-C40C66FF867C}">
                  <a14:compatExt spid="_x0000_s33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91" name="Control 319" hidden="1">
              <a:extLst>
                <a:ext uri="{63B3BB69-23CF-44E3-9099-C40C66FF867C}">
                  <a14:compatExt spid="_x0000_s33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92" name="Control 320" hidden="1">
              <a:extLst>
                <a:ext uri="{63B3BB69-23CF-44E3-9099-C40C66FF867C}">
                  <a14:compatExt spid="_x0000_s33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93" name="Control 321" hidden="1">
              <a:extLst>
                <a:ext uri="{63B3BB69-23CF-44E3-9099-C40C66FF867C}">
                  <a14:compatExt spid="_x0000_s33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94" name="Control 322" hidden="1">
              <a:extLst>
                <a:ext uri="{63B3BB69-23CF-44E3-9099-C40C66FF867C}">
                  <a14:compatExt spid="_x0000_s33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95" name="Control 323" hidden="1">
              <a:extLst>
                <a:ext uri="{63B3BB69-23CF-44E3-9099-C40C66FF867C}">
                  <a14:compatExt spid="_x0000_s33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97" name="Control 325" hidden="1">
              <a:extLst>
                <a:ext uri="{63B3BB69-23CF-44E3-9099-C40C66FF867C}">
                  <a14:compatExt spid="_x0000_s33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399" name="Control 327" hidden="1">
              <a:extLst>
                <a:ext uri="{63B3BB69-23CF-44E3-9099-C40C66FF867C}">
                  <a14:compatExt spid="_x0000_s33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401" name="Control 329" hidden="1">
              <a:extLst>
                <a:ext uri="{63B3BB69-23CF-44E3-9099-C40C66FF867C}">
                  <a14:compatExt spid="_x0000_s34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403" name="Control 331" hidden="1">
              <a:extLst>
                <a:ext uri="{63B3BB69-23CF-44E3-9099-C40C66FF867C}">
                  <a14:compatExt spid="_x0000_s34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404" name="Control 332" hidden="1">
              <a:extLst>
                <a:ext uri="{63B3BB69-23CF-44E3-9099-C40C66FF867C}">
                  <a14:compatExt spid="_x0000_s34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405" name="Control 333" hidden="1">
              <a:extLst>
                <a:ext uri="{63B3BB69-23CF-44E3-9099-C40C66FF867C}">
                  <a14:compatExt spid="_x0000_s34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406" name="Control 334" hidden="1">
              <a:extLst>
                <a:ext uri="{63B3BB69-23CF-44E3-9099-C40C66FF867C}">
                  <a14:compatExt spid="_x0000_s34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407" name="Control 335" hidden="1">
              <a:extLst>
                <a:ext uri="{63B3BB69-23CF-44E3-9099-C40C66FF867C}">
                  <a14:compatExt spid="_x0000_s34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408" name="Control 336" hidden="1">
              <a:extLst>
                <a:ext uri="{63B3BB69-23CF-44E3-9099-C40C66FF867C}">
                  <a14:compatExt spid="_x0000_s34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410" name="Control 338" hidden="1">
              <a:extLst>
                <a:ext uri="{63B3BB69-23CF-44E3-9099-C40C66FF867C}">
                  <a14:compatExt spid="_x0000_s34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-37245131</xdr:colOff>
          <xdr:row>155</xdr:row>
          <xdr:rowOff>157162</xdr:rowOff>
        </xdr:from>
        <xdr:to>
          <xdr:col>0</xdr:col>
          <xdr:colOff>-37035581</xdr:colOff>
          <xdr:row>2418</xdr:row>
          <xdr:rowOff>176212</xdr:rowOff>
        </xdr:to>
        <xdr:sp macro="" textlink="">
          <xdr:nvSpPr>
            <xdr:cNvPr id="3411" name="Control 339" hidden="1">
              <a:extLst>
                <a:ext uri="{63B3BB69-23CF-44E3-9099-C40C66FF867C}">
                  <a14:compatExt spid="_x0000_s34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Roof%20agreements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hor" refreshedDate="42890.921679050924" createdVersion="5" refreshedVersion="5" minRefreshableVersion="3" recordCount="2404">
  <cacheSource type="worksheet">
    <worksheetSource ref="M2:AA2406" sheet="מכרזים מרמי" r:id="rId2"/>
  </cacheSource>
  <cacheFields count="15">
    <cacheField name="מחיר סופי בש&quot;ח ללא מע&quot;מ" numFmtId="0">
      <sharedItems containsMixedTypes="1" containsNumber="1" minValue="3.55" maxValue="137000000" count="1836">
        <s v="אין הצעות למתחם זה"/>
        <n v="5926"/>
        <n v="6126"/>
        <n v="6926"/>
        <n v="7026"/>
        <n v="7126"/>
        <n v="7140"/>
        <n v="7311"/>
        <n v="7339"/>
        <n v="7426"/>
        <n v="8391"/>
        <n v="108000"/>
        <n v="210600"/>
        <n v="218018"/>
        <n v="228800"/>
        <n v="309668"/>
        <n v="314818"/>
        <n v="342000"/>
        <n v="412532"/>
        <n v="414000"/>
        <n v="434436"/>
        <n v="458371"/>
        <n v="460000"/>
        <n v="500000"/>
        <n v="501666"/>
        <n v="510000"/>
        <n v="520000"/>
        <n v="521000"/>
        <n v="522000"/>
        <n v="527000"/>
        <n v="537000"/>
        <n v="541000"/>
        <n v="550000"/>
        <n v="554000"/>
        <n v="559999"/>
        <n v="560000"/>
        <n v="561000"/>
        <n v="562105"/>
        <n v="565888"/>
        <n v="580000"/>
        <n v="582187"/>
        <n v="598547"/>
        <n v="600000"/>
        <n v="602500"/>
        <n v="606702"/>
        <n v="610000"/>
        <n v="610500"/>
        <n v="613565"/>
        <n v="614000"/>
        <n v="616122"/>
        <n v="617000"/>
        <n v="618206"/>
        <n v="620000"/>
        <n v="622108"/>
        <n v="622938"/>
        <n v="625528"/>
        <n v="626227"/>
        <n v="629999"/>
        <n v="635555"/>
        <n v="638642"/>
        <n v="643000"/>
        <n v="643233"/>
        <n v="645679"/>
        <n v="647512"/>
        <n v="651000"/>
        <n v="655255"/>
        <n v="659000"/>
        <n v="659255"/>
        <n v="659999"/>
        <n v="660000"/>
        <n v="660600"/>
        <n v="660755"/>
        <n v="666999"/>
        <n v="670000"/>
        <n v="672500"/>
        <n v="674000"/>
        <n v="675000"/>
        <n v="678754"/>
        <n v="689000"/>
        <n v="689649"/>
        <n v="693626"/>
        <n v="695100"/>
        <n v="698180"/>
        <n v="700000"/>
        <n v="700830"/>
        <n v="701000"/>
        <n v="705000"/>
        <n v="711389"/>
        <n v="712000"/>
        <n v="712650"/>
        <n v="718678"/>
        <n v="720000"/>
        <n v="720720"/>
        <n v="725000"/>
        <n v="730000"/>
        <n v="732577"/>
        <n v="741000"/>
        <n v="741200"/>
        <n v="741930"/>
        <n v="742190"/>
        <n v="743100"/>
        <n v="745000"/>
        <n v="745555"/>
        <n v="750000"/>
        <n v="750100"/>
        <n v="760000"/>
        <n v="761000"/>
        <n v="769271"/>
        <n v="777000"/>
        <n v="781000"/>
        <n v="783000"/>
        <n v="792100"/>
        <n v="805555"/>
        <n v="821679"/>
        <n v="825555"/>
        <n v="826990"/>
        <n v="830000"/>
        <n v="861000"/>
        <n v="888888"/>
        <n v="934180"/>
        <n v="936018"/>
        <n v="946260"/>
        <n v="977000"/>
        <n v="1000000"/>
        <n v="1018018"/>
        <n v="1093000"/>
        <n v="1101999"/>
        <n v="1126000"/>
        <n v="1348500"/>
        <n v="1518018"/>
        <n v="1624464"/>
        <n v="1661000"/>
        <n v="1800000"/>
        <n v="2100000"/>
        <n v="2126000"/>
        <n v="2300777"/>
        <n v="2484018"/>
        <n v="3444000"/>
        <n v="18287999"/>
        <n v="6794"/>
        <n v="7199"/>
        <n v="7289"/>
        <n v="7389"/>
        <n v="7455"/>
        <n v="20176"/>
        <n v="20272"/>
        <n v="21375"/>
        <n v="21528"/>
        <n v="22300"/>
        <n v="22492"/>
        <n v="23347"/>
        <n v="23400"/>
        <n v="23777"/>
        <n v="25000"/>
        <n v="25555"/>
        <n v="25565"/>
        <n v="26181"/>
        <n v="27100"/>
        <n v="27200"/>
        <n v="27775"/>
        <n v="28100"/>
        <n v="28524"/>
        <n v="28816"/>
        <n v="29000"/>
        <n v="30000"/>
        <n v="30152"/>
        <n v="30600"/>
        <n v="31000"/>
        <n v="31250"/>
        <n v="31360"/>
        <n v="31510"/>
        <n v="31900"/>
        <n v="32100"/>
        <n v="32190"/>
        <n v="32950"/>
        <n v="33000"/>
        <n v="33100"/>
        <n v="33180"/>
        <n v="33500"/>
        <n v="34000"/>
        <n v="34010"/>
        <n v="34020"/>
        <n v="34170"/>
        <n v="34529"/>
        <n v="35000"/>
        <n v="35180"/>
        <n v="35555"/>
        <n v="35767"/>
        <n v="35995"/>
        <n v="36000"/>
        <n v="36110"/>
        <n v="36126"/>
        <n v="36260"/>
        <n v="36360"/>
        <n v="36666"/>
        <n v="36700"/>
        <n v="36900"/>
        <n v="38130"/>
        <n v="38300"/>
        <n v="38717"/>
        <n v="39654"/>
        <n v="40000"/>
        <n v="40100"/>
        <n v="40500"/>
        <n v="40518"/>
        <n v="41000"/>
        <n v="41100"/>
        <n v="41101"/>
        <n v="41606"/>
        <n v="42363"/>
        <n v="42500"/>
        <n v="42550"/>
        <n v="42606"/>
        <n v="42717"/>
        <n v="43000"/>
        <n v="43105"/>
        <n v="43180"/>
        <n v="43187"/>
        <n v="43995"/>
        <n v="44018"/>
        <n v="44100"/>
        <n v="44444"/>
        <n v="44735"/>
        <n v="45000"/>
        <n v="45600"/>
        <n v="46000"/>
        <n v="46018"/>
        <n v="46180"/>
        <n v="46230"/>
        <n v="46416"/>
        <n v="46602"/>
        <n v="48800"/>
        <n v="48801"/>
        <n v="49100"/>
        <n v="49200"/>
        <n v="49320"/>
        <n v="49535"/>
        <n v="49600"/>
        <n v="49725"/>
        <n v="49950"/>
        <n v="50000"/>
        <n v="50100"/>
        <n v="50700"/>
        <n v="50999"/>
        <n v="51000"/>
        <n v="51111"/>
        <n v="51202"/>
        <n v="51219"/>
        <n v="51360"/>
        <n v="51501"/>
        <n v="51702"/>
        <n v="51790"/>
        <n v="52000"/>
        <n v="52200"/>
        <n v="52300"/>
        <n v="52550"/>
        <n v="52600"/>
        <n v="52718"/>
        <n v="52900"/>
        <n v="53000"/>
        <n v="53018"/>
        <n v="53100"/>
        <n v="53385"/>
        <n v="53450"/>
        <n v="54000"/>
        <n v="54200"/>
        <n v="54855"/>
        <n v="54959"/>
        <n v="55000"/>
        <n v="55077"/>
        <n v="55300"/>
        <n v="55459"/>
        <n v="55550"/>
        <n v="55555"/>
        <n v="55556"/>
        <n v="55700"/>
        <n v="56010"/>
        <n v="56100"/>
        <n v="56162"/>
        <n v="56180"/>
        <n v="56260"/>
        <n v="56500"/>
        <n v="56666"/>
        <n v="57200"/>
        <n v="57777"/>
        <n v="57989"/>
        <n v="58000"/>
        <n v="58126"/>
        <n v="58200"/>
        <n v="58261"/>
        <n v="58800"/>
        <n v="59105"/>
        <n v="59324"/>
        <n v="59818"/>
        <n v="60000"/>
        <n v="60018"/>
        <n v="60060"/>
        <n v="60100"/>
        <n v="60600"/>
        <n v="60768"/>
        <n v="60800"/>
        <n v="61000"/>
        <n v="61025"/>
        <n v="61050"/>
        <n v="61080"/>
        <n v="61100"/>
        <n v="61115"/>
        <n v="61180"/>
        <n v="61200"/>
        <n v="61222"/>
        <n v="61280"/>
        <n v="61300"/>
        <n v="61500"/>
        <n v="61700"/>
        <n v="61999"/>
        <n v="62100"/>
        <n v="62229"/>
        <n v="62698"/>
        <n v="63119"/>
        <n v="63333"/>
        <n v="63545"/>
        <n v="63613"/>
        <n v="63770"/>
        <n v="64150"/>
        <n v="64160"/>
        <n v="64668"/>
        <n v="64875"/>
        <n v="65000"/>
        <n v="65018"/>
        <n v="65150"/>
        <n v="65222"/>
        <n v="65300"/>
        <n v="65347"/>
        <n v="65431"/>
        <n v="65500"/>
        <n v="66000"/>
        <n v="66101"/>
        <n v="66102"/>
        <n v="66300"/>
        <n v="66555"/>
        <n v="66592"/>
        <n v="66620"/>
        <n v="66666"/>
        <n v="66689"/>
        <n v="66700"/>
        <n v="66701"/>
        <n v="66797"/>
        <n v="66820"/>
        <n v="67192"/>
        <n v="67199"/>
        <n v="67269"/>
        <n v="67392"/>
        <n v="67553"/>
        <n v="67748"/>
        <n v="68000"/>
        <n v="68456"/>
        <n v="68888"/>
        <n v="69101"/>
        <n v="69300"/>
        <n v="69301"/>
        <n v="69665"/>
        <n v="70000"/>
        <n v="70002"/>
        <n v="70100"/>
        <n v="70200"/>
        <n v="70355"/>
        <n v="70500"/>
        <n v="70550"/>
        <n v="70555"/>
        <n v="70600"/>
        <n v="70755"/>
        <n v="71000"/>
        <n v="71007"/>
        <n v="71018"/>
        <n v="71099"/>
        <n v="71300"/>
        <n v="71380"/>
        <n v="71486"/>
        <n v="71488"/>
        <n v="71604"/>
        <n v="71918"/>
        <n v="72000"/>
        <n v="72002"/>
        <n v="72005"/>
        <n v="72040"/>
        <n v="72324"/>
        <n v="72520"/>
        <n v="72950"/>
        <n v="72972"/>
        <n v="73000"/>
        <n v="74000"/>
        <n v="74018"/>
        <n v="74100"/>
        <n v="74200"/>
        <n v="74600"/>
        <n v="74612"/>
        <n v="74671"/>
        <n v="75000"/>
        <n v="75055"/>
        <n v="75100"/>
        <n v="75200"/>
        <n v="75500"/>
        <n v="75505"/>
        <n v="75511"/>
        <n v="75555"/>
        <n v="75556"/>
        <n v="75912"/>
        <n v="76000"/>
        <n v="76018"/>
        <n v="76600"/>
        <n v="76702"/>
        <n v="76900"/>
        <n v="76999"/>
        <n v="77000"/>
        <n v="77500"/>
        <n v="77575"/>
        <n v="77777"/>
        <n v="77784"/>
        <n v="78000"/>
        <n v="78200"/>
        <n v="78260"/>
        <n v="78560"/>
        <n v="78660"/>
        <n v="79943"/>
        <n v="79950"/>
        <n v="80000"/>
        <n v="80004"/>
        <n v="80033"/>
        <n v="80055"/>
        <n v="80200"/>
        <n v="80250"/>
        <n v="80500"/>
        <n v="80685"/>
        <n v="80879"/>
        <n v="81000"/>
        <n v="81100"/>
        <n v="81111"/>
        <n v="81169"/>
        <n v="81231"/>
        <n v="81289"/>
        <n v="81412"/>
        <n v="81555"/>
        <n v="81580"/>
        <n v="81860"/>
        <n v="81952"/>
        <n v="82000"/>
        <n v="82101"/>
        <n v="82200"/>
        <n v="82331"/>
        <n v="82721"/>
        <n v="83000"/>
        <n v="83100"/>
        <n v="83416"/>
        <n v="83500"/>
        <n v="83550"/>
        <n v="84000"/>
        <n v="84484"/>
        <n v="84745"/>
        <n v="84940"/>
        <n v="85000"/>
        <n v="85001"/>
        <n v="85012"/>
        <n v="85126"/>
        <n v="85470"/>
        <n v="85500"/>
        <n v="85556"/>
        <n v="85579"/>
        <n v="85600"/>
        <n v="85900"/>
        <n v="85999"/>
        <n v="86000"/>
        <n v="86126"/>
        <n v="86129"/>
        <n v="86470"/>
        <n v="86500"/>
        <n v="87245"/>
        <n v="87258"/>
        <n v="87600"/>
        <n v="87700"/>
        <n v="88000"/>
        <n v="88600"/>
        <n v="88700"/>
        <n v="88864"/>
        <n v="88888"/>
        <n v="88900"/>
        <n v="88990"/>
        <n v="89000"/>
        <n v="89385"/>
        <n v="89500"/>
        <n v="89555"/>
        <n v="89900"/>
        <n v="89999"/>
        <n v="90000"/>
        <n v="90009"/>
        <n v="90018"/>
        <n v="90072"/>
        <n v="90099"/>
        <n v="90126"/>
        <n v="90605"/>
        <n v="90665"/>
        <n v="90800"/>
        <n v="90900"/>
        <n v="91000"/>
        <n v="91101"/>
        <n v="91111"/>
        <n v="91200"/>
        <n v="91448"/>
        <n v="91500"/>
        <n v="91521"/>
        <n v="91555"/>
        <n v="91901"/>
        <n v="92000"/>
        <n v="92001"/>
        <n v="92092"/>
        <n v="92210"/>
        <n v="92222"/>
        <n v="92244"/>
        <n v="92290"/>
        <n v="92328"/>
        <n v="92501"/>
        <n v="93217"/>
        <n v="93550"/>
        <n v="93710"/>
        <n v="93755"/>
        <n v="93777"/>
        <n v="93780"/>
        <n v="93900"/>
        <n v="93999"/>
        <n v="94000"/>
        <n v="94117"/>
        <n v="94222"/>
        <n v="94480"/>
        <n v="94555"/>
        <n v="94588"/>
        <n v="95000"/>
        <n v="95488"/>
        <n v="95555"/>
        <n v="95600"/>
        <n v="95720"/>
        <n v="95876"/>
        <n v="95948"/>
        <n v="96500"/>
        <n v="96550"/>
        <n v="96777"/>
        <n v="96968"/>
        <n v="97555"/>
        <n v="98300"/>
        <n v="98400"/>
        <n v="98500"/>
        <n v="99000"/>
        <n v="99501"/>
        <n v="99555"/>
        <n v="99570"/>
        <n v="99999"/>
        <n v="100000"/>
        <n v="100018"/>
        <n v="100500"/>
        <n v="100555"/>
        <n v="101000"/>
        <n v="101018"/>
        <n v="101026"/>
        <n v="101100"/>
        <n v="101105"/>
        <n v="101200"/>
        <n v="101203"/>
        <n v="101234"/>
        <n v="101250"/>
        <n v="101400"/>
        <n v="101500"/>
        <n v="101555"/>
        <n v="101599"/>
        <n v="101626"/>
        <n v="101740"/>
        <n v="101900"/>
        <n v="101999"/>
        <n v="102000"/>
        <n v="102100"/>
        <n v="102109"/>
        <n v="102300"/>
        <n v="102500"/>
        <n v="102760"/>
        <n v="103000"/>
        <n v="103079"/>
        <n v="103200"/>
        <n v="103500"/>
        <n v="103577"/>
        <n v="103680"/>
        <n v="103700"/>
        <n v="103999"/>
        <n v="104000"/>
        <n v="104080"/>
        <n v="104444"/>
        <n v="104455"/>
        <n v="104500"/>
        <n v="105000"/>
        <n v="105001"/>
        <n v="105180"/>
        <n v="105200"/>
        <n v="105208"/>
        <n v="105440"/>
        <n v="105500"/>
        <n v="105555"/>
        <n v="105630"/>
        <n v="105650"/>
        <n v="105656"/>
        <n v="105666"/>
        <n v="105700"/>
        <n v="105897"/>
        <n v="106000"/>
        <n v="106050"/>
        <n v="106060"/>
        <n v="106447"/>
        <n v="107000"/>
        <n v="107247"/>
        <n v="107300"/>
        <n v="107308"/>
        <n v="107355"/>
        <n v="107777"/>
        <n v="107820"/>
        <n v="108100"/>
        <n v="108201"/>
        <n v="108337"/>
        <n v="108745"/>
        <n v="108950"/>
        <n v="108999"/>
        <n v="109000"/>
        <n v="109046"/>
        <n v="109111"/>
        <n v="109178"/>
        <n v="109500"/>
        <n v="109799"/>
        <n v="109877"/>
        <n v="109905"/>
        <n v="109918"/>
        <n v="110000"/>
        <n v="110001"/>
        <n v="110026"/>
        <n v="110500"/>
        <n v="110900"/>
        <n v="111000"/>
        <n v="111200"/>
        <n v="111213"/>
        <n v="111222"/>
        <n v="111555"/>
        <n v="111556"/>
        <n v="111601"/>
        <n v="111965"/>
        <n v="112000"/>
        <n v="112112"/>
        <n v="112118"/>
        <n v="112500"/>
        <n v="112520"/>
        <n v="112690"/>
        <n v="113000"/>
        <n v="113235"/>
        <n v="113555"/>
        <n v="113565"/>
        <n v="114408"/>
        <n v="114799"/>
        <n v="115000"/>
        <n v="115001"/>
        <n v="115340"/>
        <n v="115770"/>
        <n v="115999"/>
        <n v="116000"/>
        <n v="116450"/>
        <n v="116800"/>
        <n v="117000"/>
        <n v="117350"/>
        <n v="118000"/>
        <n v="118009"/>
        <n v="118018"/>
        <n v="118119"/>
        <n v="118156"/>
        <n v="118188"/>
        <n v="118290"/>
        <n v="118366"/>
        <n v="118379"/>
        <n v="118500"/>
        <n v="118888"/>
        <n v="118999"/>
        <n v="119000"/>
        <n v="119172"/>
        <n v="119658"/>
        <n v="119800"/>
        <n v="120000"/>
        <n v="120186"/>
        <n v="120300"/>
        <n v="120502"/>
        <n v="120750"/>
        <n v="121000"/>
        <n v="121001"/>
        <n v="121101"/>
        <n v="121121"/>
        <n v="121140"/>
        <n v="121317"/>
        <n v="121450"/>
        <n v="121479"/>
        <n v="121500"/>
        <n v="121600"/>
        <n v="121619"/>
        <n v="121801"/>
        <n v="122000"/>
        <n v="122284"/>
        <n v="122825"/>
        <n v="123123"/>
        <n v="123456"/>
        <n v="123500"/>
        <n v="123550"/>
        <n v="123818"/>
        <n v="123875"/>
        <n v="124760"/>
        <n v="124802"/>
        <n v="125000"/>
        <n v="125252"/>
        <n v="125270"/>
        <n v="125300"/>
        <n v="125330"/>
        <n v="125500"/>
        <n v="125505"/>
        <n v="125555"/>
        <n v="125600"/>
        <n v="125701"/>
        <n v="126000"/>
        <n v="126026"/>
        <n v="126036"/>
        <n v="126262"/>
        <n v="126485"/>
        <n v="127000"/>
        <n v="127127"/>
        <n v="127139"/>
        <n v="127555"/>
        <n v="127990"/>
        <n v="128455"/>
        <n v="129000"/>
        <n v="129084"/>
        <n v="129100"/>
        <n v="129489"/>
        <n v="129560"/>
        <n v="130000"/>
        <n v="131000"/>
        <n v="131118"/>
        <n v="131501"/>
        <n v="131630"/>
        <n v="131750"/>
        <n v="131777"/>
        <n v="131925"/>
        <n v="132000"/>
        <n v="132200"/>
        <n v="132555"/>
        <n v="132835"/>
        <n v="133000"/>
        <n v="133369"/>
        <n v="133615"/>
        <n v="134652"/>
        <n v="134777"/>
        <n v="135000"/>
        <n v="135260"/>
        <n v="135555"/>
        <n v="136895"/>
        <n v="137000"/>
        <n v="137077"/>
        <n v="137777"/>
        <n v="137987"/>
        <n v="138532"/>
        <n v="140000"/>
        <n v="140370"/>
        <n v="140458"/>
        <n v="140614"/>
        <n v="140910"/>
        <n v="141313"/>
        <n v="141500"/>
        <n v="141564"/>
        <n v="141663"/>
        <n v="141890"/>
        <n v="142000"/>
        <n v="143215"/>
        <n v="143600"/>
        <n v="143800"/>
        <n v="143915"/>
        <n v="143999"/>
        <n v="144000"/>
        <n v="144111"/>
        <n v="144304"/>
        <n v="145018"/>
        <n v="145777"/>
        <n v="146000"/>
        <n v="146733"/>
        <n v="146800"/>
        <n v="147120"/>
        <n v="147557"/>
        <n v="148225"/>
        <n v="149517"/>
        <n v="149650"/>
        <n v="150000"/>
        <n v="150010"/>
        <n v="150110"/>
        <n v="150260"/>
        <n v="150557"/>
        <n v="150778"/>
        <n v="151000"/>
        <n v="151129"/>
        <n v="151371"/>
        <n v="151600"/>
        <n v="151730"/>
        <n v="152000"/>
        <n v="152300"/>
        <n v="152377"/>
        <n v="152479"/>
        <n v="152500"/>
        <n v="153010"/>
        <n v="154093"/>
        <n v="154511"/>
        <n v="155500"/>
        <n v="156000"/>
        <n v="156051"/>
        <n v="157000"/>
        <n v="157700"/>
        <n v="157953"/>
        <n v="158000"/>
        <n v="158980"/>
        <n v="159794"/>
        <n v="160000"/>
        <n v="160650"/>
        <n v="160900"/>
        <n v="160999"/>
        <n v="161000"/>
        <n v="161345"/>
        <n v="161500"/>
        <n v="162594"/>
        <n v="163111"/>
        <n v="163555"/>
        <n v="163752"/>
        <n v="164100"/>
        <n v="165100"/>
        <n v="166652"/>
        <n v="166750"/>
        <n v="167000"/>
        <n v="167260"/>
        <n v="167920"/>
        <n v="168555"/>
        <n v="168782"/>
        <n v="169671"/>
        <n v="170000"/>
        <n v="170005"/>
        <n v="170109"/>
        <n v="170110"/>
        <n v="170202"/>
        <n v="170979"/>
        <n v="171000"/>
        <n v="171100"/>
        <n v="171234"/>
        <n v="171500"/>
        <n v="171567"/>
        <n v="171598"/>
        <n v="171951"/>
        <n v="172428"/>
        <n v="173250"/>
        <n v="173318"/>
        <n v="175000"/>
        <n v="175710"/>
        <n v="175730"/>
        <n v="176052"/>
        <n v="176176"/>
        <n v="176492"/>
        <n v="176924"/>
        <n v="177055"/>
        <n v="177077"/>
        <n v="177360"/>
        <n v="177378"/>
        <n v="177644"/>
        <n v="178280"/>
        <n v="178371"/>
        <n v="181000"/>
        <n v="181030"/>
        <n v="181818"/>
        <n v="182000"/>
        <n v="182100"/>
        <n v="182182"/>
        <n v="183100"/>
        <n v="185075"/>
        <n v="185101"/>
        <n v="185600"/>
        <n v="188000"/>
        <n v="189000"/>
        <n v="189055"/>
        <n v="191556"/>
        <n v="192000"/>
        <n v="192800"/>
        <n v="193200"/>
        <n v="193717"/>
        <n v="194753"/>
        <n v="195000"/>
        <n v="197000"/>
        <n v="197124"/>
        <n v="200000"/>
        <n v="200001"/>
        <n v="201000"/>
        <n v="201121"/>
        <n v="201385"/>
        <n v="201500"/>
        <n v="202560"/>
        <n v="203491"/>
        <n v="204000"/>
        <n v="205000"/>
        <n v="205134"/>
        <n v="205362"/>
        <n v="205500"/>
        <n v="206000"/>
        <n v="206353"/>
        <n v="206696"/>
        <n v="209133"/>
        <n v="210750"/>
        <n v="212144"/>
        <n v="214963"/>
        <n v="216000"/>
        <n v="218778"/>
        <n v="220150"/>
        <n v="221558"/>
        <n v="223559"/>
        <n v="226226"/>
        <n v="227294"/>
        <n v="227777"/>
        <n v="231449"/>
        <n v="231700"/>
        <n v="231955"/>
        <n v="232670"/>
        <n v="234000"/>
        <n v="236000"/>
        <n v="236601"/>
        <n v="237746"/>
        <n v="238702"/>
        <n v="241305"/>
        <n v="242670"/>
        <n v="243990"/>
        <n v="245338"/>
        <n v="245555"/>
        <n v="250000"/>
        <n v="251100"/>
        <n v="251601"/>
        <n v="253500"/>
        <n v="255000"/>
        <n v="256026"/>
        <n v="256555"/>
        <n v="256759"/>
        <n v="256789"/>
        <n v="258155"/>
        <n v="260000"/>
        <n v="261111"/>
        <n v="268501"/>
        <n v="269000"/>
        <n v="271254"/>
        <n v="276000"/>
        <n v="277169"/>
        <n v="280000"/>
        <n v="281000"/>
        <n v="284167"/>
        <n v="285000"/>
        <n v="288466"/>
        <n v="295555"/>
        <n v="296012"/>
        <n v="297572"/>
        <n v="300055"/>
        <n v="305556"/>
        <n v="305905"/>
        <n v="311118"/>
        <n v="318330"/>
        <n v="320000"/>
        <n v="320500"/>
        <n v="323460"/>
        <n v="331999"/>
        <n v="333000"/>
        <n v="336620"/>
        <n v="336937"/>
        <n v="340605"/>
        <n v="341633"/>
        <n v="351555"/>
        <n v="369002"/>
        <n v="380000"/>
        <n v="385281"/>
        <n v="387000"/>
        <n v="404863"/>
        <n v="408962"/>
        <n v="414110"/>
        <n v="415712"/>
        <n v="416188"/>
        <n v="423000"/>
        <n v="427762"/>
        <n v="447000"/>
        <n v="455000"/>
        <n v="462300"/>
        <n v="463524"/>
        <n v="479550"/>
        <n v="480000"/>
        <n v="483483"/>
        <n v="485052"/>
        <n v="490000"/>
        <n v="490050"/>
        <n v="492000"/>
        <n v="493000"/>
        <n v="495424"/>
        <n v="495753"/>
        <n v="501000"/>
        <n v="510713"/>
        <n v="513000"/>
        <n v="515750"/>
        <n v="516450"/>
        <n v="522432"/>
        <n v="524000"/>
        <n v="525100"/>
        <n v="525555"/>
        <n v="527889"/>
        <n v="532000"/>
        <n v="542800"/>
        <n v="557620"/>
        <n v="558634"/>
        <n v="559990"/>
        <n v="568608"/>
        <n v="573371"/>
        <n v="574321"/>
        <n v="577358"/>
        <n v="581000"/>
        <n v="583577"/>
        <n v="590000"/>
        <n v="594189"/>
        <n v="595000"/>
        <n v="595890"/>
        <n v="601195"/>
        <n v="605000"/>
        <n v="613026"/>
        <n v="616000"/>
        <n v="621001"/>
        <n v="641001"/>
        <n v="645000"/>
        <n v="645780"/>
        <n v="650000"/>
        <n v="652055"/>
        <n v="657126"/>
        <n v="661001"/>
        <n v="664673"/>
        <n v="667001"/>
        <n v="672520"/>
        <n v="678777"/>
        <n v="681001"/>
        <n v="691000"/>
        <n v="726126"/>
        <n v="745139"/>
        <n v="747330"/>
        <n v="950260"/>
        <n v="1130100"/>
        <n v="1178500"/>
        <n v="1810000"/>
        <n v="2305600"/>
        <n v="2468000"/>
        <n v="2531487"/>
        <n v="2675226"/>
        <n v="2886389"/>
        <n v="2945000"/>
        <n v="3042255"/>
        <n v="3333260"/>
        <n v="3350000"/>
        <n v="3600000"/>
        <n v="3600048"/>
        <n v="3920000"/>
        <n v="4100000"/>
        <n v="4155000"/>
        <n v="4182298"/>
        <n v="4398048"/>
        <n v="4420000"/>
        <n v="4540126"/>
        <n v="4681274"/>
        <n v="4853000"/>
        <n v="4875065"/>
        <n v="5013113"/>
        <n v="5072000"/>
        <n v="5108000"/>
        <n v="5760289"/>
        <n v="5880880"/>
        <n v="6060000"/>
        <n v="6255555"/>
        <n v="6455000"/>
        <n v="7255505"/>
        <n v="7699242"/>
        <n v="8001013"/>
        <n v="8872470"/>
        <n v="9241000"/>
        <n v="9505500"/>
        <n v="10600000"/>
        <n v="12125172"/>
        <n v="13346956"/>
        <n v="22000000"/>
        <n v="24440940"/>
        <n v="6526"/>
        <n v="7048"/>
        <n v="7092"/>
        <n v="6748"/>
        <n v="7050"/>
        <s v="המציע זכה במתחם אחר"/>
        <n v="6685"/>
        <s v="בחירת מתחם תערך במרחב"/>
        <n v="7033"/>
        <n v="6950"/>
        <n v="6890"/>
        <n v="7049"/>
        <n v="6328"/>
        <n v="6250"/>
        <n v="6035"/>
        <n v="7488"/>
        <n v="13622"/>
        <n v="13774"/>
        <n v="14574"/>
        <n v="14742"/>
        <n v="14889"/>
        <n v="14995"/>
        <n v="7469"/>
        <n v="1420457"/>
        <n v="5450"/>
        <n v="6377"/>
        <n v="6548"/>
        <n v="6660"/>
        <n v="6688"/>
        <n v="6960"/>
        <n v="6979"/>
        <n v="7274"/>
        <n v="7448"/>
        <n v="7534"/>
        <n v="3333333"/>
        <n v="3777888"/>
        <n v="4444445"/>
        <n v="4715000"/>
        <n v="5700000"/>
        <n v="5720000"/>
        <n v="5785000"/>
        <n v="7820000"/>
        <n v="8366180"/>
        <n v="13227000"/>
        <n v="38777999"/>
        <n v="3600010"/>
        <n v="8395"/>
        <n v="8556"/>
        <n v="8557"/>
        <n v="8595"/>
        <n v="8600"/>
        <n v="8605"/>
        <n v="8751"/>
        <n v="8776"/>
        <n v="8790"/>
        <n v="8805"/>
        <n v="8885"/>
        <n v="8905"/>
        <n v="8915"/>
        <n v="8955"/>
        <n v="9005"/>
        <n v="9165"/>
        <n v="980980"/>
        <n v="1029580"/>
        <n v="1110999"/>
        <n v="1162000"/>
        <n v="6940000"/>
        <n v="7840000"/>
        <n v="10884900"/>
        <n v="27026260"/>
        <n v="4900"/>
        <s v="הצעות לא בטווח"/>
        <n v="9355"/>
        <n v="10188"/>
        <n v="9228"/>
        <n v="10724"/>
        <n v="3.55"/>
        <n v="8585"/>
        <n v="8818"/>
        <n v="8876"/>
        <n v="8918"/>
        <n v="9108"/>
        <n v="9118"/>
        <n v="9141"/>
        <n v="9218"/>
        <n v="9220"/>
        <n v="9318"/>
        <n v="9370"/>
        <n v="9393"/>
        <n v="9418"/>
        <n v="9518"/>
        <n v="9756"/>
        <n v="9777"/>
        <n v="9888"/>
        <n v="9994"/>
        <n v="10218"/>
        <n v="10305"/>
        <n v="10318"/>
        <n v="10377"/>
        <n v="10615"/>
        <n v="2500010"/>
        <n v="4080000"/>
        <n v="4530000"/>
        <n v="4615000"/>
        <n v="5004000"/>
        <n v="5600000"/>
        <n v="5700075"/>
        <n v="6215555"/>
        <n v="6877777"/>
        <n v="7126000"/>
        <n v="8004000"/>
        <n v="8411630"/>
        <n v="8581238"/>
        <n v="9005000"/>
        <n v="9390000"/>
        <n v="9809218"/>
        <n v="9840000"/>
        <n v="9910018"/>
        <n v="10450296"/>
        <n v="10665000"/>
        <n v="10703000"/>
        <n v="10900000"/>
        <n v="11353805"/>
        <n v="12160416"/>
        <n v="13077777"/>
        <n v="13799999"/>
        <n v="14000018"/>
        <n v="14321580"/>
        <n v="15100000"/>
        <n v="15259555"/>
        <n v="15450000"/>
        <n v="15508542"/>
        <n v="15555555"/>
        <n v="15845000"/>
        <n v="16064444"/>
        <n v="16400000"/>
        <n v="17255555"/>
        <n v="18888052"/>
        <n v="19888800"/>
        <n v="19969555"/>
        <n v="20000000"/>
        <n v="20140000"/>
        <n v="20501000"/>
        <n v="20666666"/>
        <n v="22512360"/>
        <n v="22600000"/>
        <n v="23103333"/>
        <n v="23118118"/>
        <n v="23754555"/>
        <n v="23999999"/>
        <n v="24383555"/>
        <n v="25000000"/>
        <n v="26000555"/>
        <n v="26280777"/>
        <n v="28318318"/>
        <n v="29000500"/>
        <n v="29897555"/>
        <n v="30000000"/>
        <n v="31220150"/>
        <n v="31363636"/>
        <n v="31710017"/>
        <n v="42840000"/>
        <n v="54720000"/>
        <n v="56523345"/>
        <n v="81918000"/>
        <n v="1177000"/>
        <n v="177777"/>
        <n v="9378"/>
        <n v="9655"/>
        <n v="8613131"/>
        <n v="26000000"/>
        <n v="31645120"/>
        <n v="56800000"/>
        <n v="9367"/>
        <n v="9189"/>
        <n v="4300"/>
        <n v="555555"/>
        <n v="4355"/>
        <n v="4555"/>
        <n v="4581"/>
        <n v="4650"/>
        <n v="7643"/>
        <n v="7923"/>
        <n v="7983"/>
        <n v="8245"/>
        <n v="3692100"/>
        <n v="10740000"/>
        <n v="10810800"/>
        <n v="12555555"/>
        <n v="13713501"/>
        <n v="15224900"/>
        <n v="16180018"/>
        <n v="17016137"/>
        <n v="17740717"/>
        <n v="18893333"/>
        <n v="19399380"/>
        <n v="24597622"/>
        <n v="6420"/>
        <n v="6818"/>
        <n v="6838"/>
        <n v="6846"/>
        <n v="39555"/>
        <n v="58560"/>
        <n v="62000"/>
        <n v="64838"/>
        <n v="76258"/>
        <n v="80006"/>
        <n v="81755"/>
        <n v="82297"/>
        <n v="84677"/>
        <n v="91999"/>
        <n v="92820"/>
        <n v="95130"/>
        <n v="98927"/>
        <n v="100002"/>
        <n v="100520"/>
        <n v="100700"/>
        <n v="100777"/>
        <n v="102108"/>
        <n v="104675"/>
        <n v="105130"/>
        <n v="106477"/>
        <n v="106665"/>
        <n v="107108"/>
        <n v="108036"/>
        <n v="108315"/>
        <n v="108727"/>
        <n v="109789"/>
        <n v="110100"/>
        <n v="110208"/>
        <n v="111300"/>
        <n v="112256"/>
        <n v="112900"/>
        <n v="113660"/>
        <n v="115110"/>
        <n v="116600"/>
        <n v="117118"/>
        <n v="117770"/>
        <n v="118933"/>
        <n v="119870"/>
        <n v="120001"/>
        <n v="121018"/>
        <n v="121112"/>
        <n v="121180"/>
        <n v="121510"/>
        <n v="121800"/>
        <n v="123145"/>
        <n v="123400"/>
        <n v="124038"/>
        <n v="126900"/>
        <n v="127777"/>
        <n v="130500"/>
        <n v="134100"/>
        <n v="134151"/>
        <n v="134157"/>
        <n v="135155"/>
        <n v="135660"/>
        <n v="135875"/>
        <n v="136000"/>
        <n v="137100"/>
        <n v="137770"/>
        <n v="138000"/>
        <n v="140555"/>
        <n v="141000"/>
        <n v="141200"/>
        <n v="141300"/>
        <n v="141976"/>
        <n v="144509"/>
        <n v="145000"/>
        <n v="145026"/>
        <n v="145226"/>
        <n v="145601"/>
        <n v="146059"/>
        <n v="148306"/>
        <n v="148510"/>
        <n v="148526"/>
        <n v="149000"/>
        <n v="149008"/>
        <n v="149999"/>
        <n v="150001"/>
        <n v="150400"/>
        <n v="150556"/>
        <n v="151896"/>
        <n v="152100"/>
        <n v="152520"/>
        <n v="152666"/>
        <n v="153400"/>
        <n v="153720"/>
        <n v="155000"/>
        <n v="155559"/>
        <n v="155600"/>
        <n v="156666"/>
        <n v="156705"/>
        <n v="157860"/>
        <n v="159735"/>
        <n v="160162"/>
        <n v="161200"/>
        <n v="161450"/>
        <n v="161900"/>
        <n v="161999"/>
        <n v="162000"/>
        <n v="162555"/>
        <n v="162729"/>
        <n v="162766"/>
        <n v="162800"/>
        <n v="163000"/>
        <n v="163500"/>
        <n v="164710"/>
        <n v="165000"/>
        <n v="165762"/>
        <n v="166000"/>
        <n v="166620"/>
        <n v="168000"/>
        <n v="168300"/>
        <n v="169000"/>
        <n v="169145"/>
        <n v="169280"/>
        <n v="169674"/>
        <n v="170012"/>
        <n v="171171"/>
        <n v="171840"/>
        <n v="172240"/>
        <n v="173000"/>
        <n v="174000"/>
        <n v="174919"/>
        <n v="176000"/>
        <n v="176089"/>
        <n v="177000"/>
        <n v="177770"/>
        <n v="178000"/>
        <n v="178011"/>
        <n v="178400"/>
        <n v="179976"/>
        <n v="180000"/>
        <n v="180180"/>
        <n v="180456"/>
        <n v="180771"/>
        <n v="181325"/>
        <n v="181819"/>
        <n v="183142"/>
        <n v="184000"/>
        <n v="185000"/>
        <n v="185520"/>
        <n v="185556"/>
        <n v="190000"/>
        <n v="190002"/>
        <n v="190389"/>
        <n v="190602"/>
        <n v="190858"/>
        <n v="191000"/>
        <n v="191273"/>
        <n v="192526"/>
        <n v="192678"/>
        <n v="193000"/>
        <n v="196446"/>
        <n v="198000"/>
        <n v="200002"/>
        <n v="200501"/>
        <n v="201234"/>
        <n v="201300"/>
        <n v="201721"/>
        <n v="201770"/>
        <n v="202000"/>
        <n v="202001"/>
        <n v="202202"/>
        <n v="203000"/>
        <n v="206667"/>
        <n v="207500"/>
        <n v="207600"/>
        <n v="207777"/>
        <n v="208421"/>
        <n v="209500"/>
        <n v="210018"/>
        <n v="210820"/>
        <n v="212000"/>
        <n v="213000"/>
        <n v="213234"/>
        <n v="214887"/>
        <n v="215491"/>
        <n v="215500"/>
        <n v="216234"/>
        <n v="218000"/>
        <n v="219000"/>
        <n v="219181"/>
        <n v="219284"/>
        <n v="220380"/>
        <n v="220770"/>
        <n v="221000"/>
        <n v="222845"/>
        <n v="223200"/>
        <n v="224500"/>
        <n v="225520"/>
        <n v="228200"/>
        <n v="230000"/>
        <n v="230500"/>
        <n v="231900"/>
        <n v="232000"/>
        <n v="232600"/>
        <n v="233510"/>
        <n v="235000"/>
        <n v="235500"/>
        <n v="235550"/>
        <n v="235555"/>
        <n v="236011"/>
        <n v="236222"/>
        <n v="237000"/>
        <n v="237107"/>
        <n v="238888"/>
        <n v="239300"/>
        <n v="239950"/>
        <n v="240000"/>
        <n v="240240"/>
        <n v="240762"/>
        <n v="241000"/>
        <n v="241001"/>
        <n v="241415"/>
        <n v="241550"/>
        <n v="241900"/>
        <n v="242400"/>
        <n v="242700"/>
        <n v="243000"/>
        <n v="243792"/>
        <n v="246000"/>
        <n v="248500"/>
        <n v="250250"/>
        <n v="251113"/>
        <n v="251590"/>
        <n v="252252"/>
        <n v="252595"/>
        <n v="253200"/>
        <n v="253600"/>
        <n v="253800"/>
        <n v="255024"/>
        <n v="255607"/>
        <n v="255994"/>
        <n v="256500"/>
        <n v="256777"/>
        <n v="257191"/>
        <n v="258610"/>
        <n v="258975"/>
        <n v="259950"/>
        <n v="259974"/>
        <n v="260999"/>
        <n v="261700"/>
        <n v="263520"/>
        <n v="264250"/>
        <n v="264377"/>
        <n v="265000"/>
        <n v="265780"/>
        <n v="266000"/>
        <n v="266513"/>
        <n v="267180"/>
        <n v="268990"/>
        <n v="269353"/>
        <n v="269751"/>
        <n v="269900"/>
        <n v="270001"/>
        <n v="271000"/>
        <n v="271050"/>
        <n v="272180"/>
        <n v="275000"/>
        <n v="277421"/>
        <n v="280299"/>
        <n v="280550"/>
        <n v="281555"/>
        <n v="282700"/>
        <n v="283106"/>
        <n v="284467"/>
        <n v="286000"/>
        <n v="287757"/>
        <n v="288100"/>
        <n v="288288"/>
        <n v="291000"/>
        <n v="292520"/>
        <n v="295566"/>
        <n v="296000"/>
        <n v="296260"/>
        <n v="297797"/>
        <n v="301550"/>
        <n v="307785"/>
        <n v="310000"/>
        <n v="311000"/>
        <n v="311101"/>
        <n v="312750"/>
        <n v="314000"/>
        <n v="315000"/>
        <n v="315555"/>
        <n v="323371"/>
        <n v="323996"/>
        <n v="324018"/>
        <n v="329555"/>
        <n v="331555"/>
        <n v="333088"/>
        <n v="336000"/>
        <n v="352520"/>
        <n v="354000"/>
        <n v="355555"/>
        <n v="357148"/>
        <n v="360000"/>
        <n v="360360"/>
        <n v="361300"/>
        <n v="361900"/>
        <n v="370500"/>
        <n v="373000"/>
        <n v="375026"/>
        <n v="376000"/>
        <n v="377777"/>
        <n v="378000"/>
        <n v="381196"/>
        <n v="382000"/>
        <n v="382500"/>
        <n v="384918"/>
        <n v="385000"/>
        <n v="389000"/>
        <n v="389389"/>
        <n v="390000"/>
        <n v="390391"/>
        <n v="396074"/>
        <n v="398700"/>
        <n v="399850"/>
        <n v="400000"/>
        <n v="403063"/>
        <n v="405555"/>
        <n v="405752"/>
        <n v="407770"/>
        <n v="409550"/>
        <n v="415560"/>
        <n v="420000"/>
        <n v="422555"/>
        <n v="428018"/>
        <n v="432230"/>
        <n v="436733"/>
        <n v="444444"/>
        <n v="444445"/>
        <n v="450000"/>
        <n v="451100"/>
        <n v="477000"/>
        <n v="477770"/>
        <n v="480770"/>
        <n v="501370"/>
        <n v="517000"/>
        <n v="551000"/>
        <n v="553000"/>
        <n v="629000"/>
        <n v="665000"/>
        <n v="707777"/>
        <n v="717717"/>
        <n v="1077777"/>
        <n v="1558440"/>
        <n v="2007540"/>
        <n v="4295486"/>
        <n v="4600000"/>
        <n v="7854018"/>
        <n v="10555555"/>
        <n v="13166535"/>
        <n v="15000000"/>
        <n v="18000000"/>
        <n v="18516280"/>
        <n v="20110910"/>
        <n v="20318018"/>
        <n v="20518118"/>
        <n v="21555555"/>
        <n v="26077888"/>
        <n v="26441018"/>
        <n v="72410018"/>
        <n v="255555"/>
        <n v="301111"/>
        <n v="318000"/>
        <n v="290000"/>
        <n v="242800"/>
        <n v="294338"/>
        <n v="351000"/>
        <n v="284000"/>
        <n v="302555"/>
        <n v="254648"/>
        <n v="367899"/>
        <n v="357428"/>
        <n v="1855555"/>
        <n v="3785555"/>
        <n v="355556"/>
        <n v="1665045"/>
        <n v="8685"/>
        <n v="8765"/>
        <n v="8777"/>
        <n v="8890"/>
        <n v="8939"/>
        <n v="9018"/>
        <n v="9149"/>
        <n v="9445"/>
        <n v="9494"/>
        <n v="9550"/>
        <n v="9555"/>
        <n v="9597"/>
        <n v="9598"/>
        <n v="9607"/>
        <n v="10988"/>
        <n v="11288"/>
        <n v="641864"/>
        <n v="877777"/>
        <n v="1118500"/>
        <n v="1796000"/>
        <n v="1855559"/>
        <n v="1884247"/>
        <n v="1932000"/>
        <n v="2082366"/>
        <n v="2167584"/>
        <n v="2177070"/>
        <n v="2186555"/>
        <n v="2307000"/>
        <n v="2340000"/>
        <n v="2353000"/>
        <n v="2355556"/>
        <n v="2400120"/>
        <n v="2401700"/>
        <n v="2411561"/>
        <n v="2455560"/>
        <n v="2471569"/>
        <n v="2481907"/>
        <n v="2544384"/>
        <n v="2600000"/>
        <n v="2610000"/>
        <n v="2620000"/>
        <n v="2650720"/>
        <n v="2678128"/>
        <n v="2700000"/>
        <n v="2719194"/>
        <n v="2734965"/>
        <n v="2740000"/>
        <n v="2760000"/>
        <n v="2774000"/>
        <n v="2905000"/>
        <n v="2939000"/>
        <n v="3200000"/>
        <n v="3272000"/>
        <n v="6885990"/>
        <n v="9170000"/>
        <n v="9706186"/>
        <n v="10164000"/>
        <n v="11632000"/>
        <n v="12432000"/>
        <n v="42003990"/>
        <n v="8888"/>
        <n v="3500777"/>
        <n v="10069"/>
        <n v="9577"/>
        <n v="9354"/>
        <n v="9629"/>
        <n v="10100"/>
        <n v="10478"/>
        <n v="9700"/>
        <n v="9948"/>
        <n v="9705"/>
        <n v="9455"/>
        <n v="10126"/>
        <n v="9101"/>
        <n v="10250"/>
        <n v="9790"/>
        <n v="9490"/>
        <n v="9269"/>
        <n v="9579"/>
        <n v="9674"/>
        <n v="9659"/>
        <n v="10226"/>
        <n v="8657"/>
        <n v="8768"/>
        <n v="8828"/>
        <n v="517770"/>
        <n v="717000"/>
        <n v="6011111"/>
        <n v="7683"/>
        <n v="8168"/>
        <n v="8259"/>
        <n v="7988"/>
        <n v="7695"/>
        <n v="7743"/>
        <n v="7895"/>
        <n v="7875"/>
        <n v="7755"/>
        <n v="7888"/>
        <n v="7995"/>
        <n v="7899"/>
        <n v="8060"/>
        <n v="7913"/>
        <n v="7965"/>
        <n v="7918"/>
        <s v="אין הצעות למגרש זה"/>
        <n v="7924"/>
        <n v="8084"/>
        <n v="7597"/>
        <n v="7589"/>
        <n v="8178"/>
        <n v="8289"/>
        <n v="7795"/>
        <n v="7329720"/>
        <n v="8188888"/>
        <n v="2555555"/>
        <s v="הצעה יחידה ובהתאם לתנאי המכרז לא הוכרזו זוכים"/>
        <n v="13299000"/>
        <n v="23633334"/>
        <n v="9050333"/>
        <n v="5180000"/>
        <n v="6350000"/>
        <n v="1123000"/>
        <n v="1155000"/>
        <n v="1100712"/>
        <n v="1220000"/>
        <n v="36818818"/>
        <n v="11277778"/>
        <n v="10540260"/>
        <n v="28026777"/>
        <n v="18800888"/>
        <n v="22144888"/>
        <n v="24819118"/>
        <n v="32777778"/>
        <n v="15977778"/>
        <n v="10762555"/>
        <n v="6500000"/>
        <n v="25266818"/>
        <n v="11885888"/>
        <n v="15499260"/>
        <s v="המציע זכה במגרש אחר"/>
        <n v="10852999"/>
        <n v="13100000"/>
        <n v="78960000"/>
        <n v="40500000"/>
        <n v="85000000"/>
        <n v="11299147"/>
        <s v="הצעות לא תקינות"/>
        <n v="9601101"/>
        <n v="8550000"/>
        <n v="20222222"/>
        <n v="27665555"/>
        <n v="600250"/>
        <n v="4332000"/>
        <n v="1075000"/>
        <n v="1111111"/>
        <n v="1188888"/>
        <n v="137000000"/>
        <n v="900000"/>
        <n v="1041000"/>
        <n v="442000"/>
        <n v="391300"/>
        <n v="911773"/>
        <n v="11111111"/>
      </sharedItems>
    </cacheField>
    <cacheField name="הוצאות פיתוח" numFmtId="164">
      <sharedItems containsBlank="1" containsMixedTypes="1" containsNumber="1" containsInteger="1" minValue="5223" maxValue="92402908"/>
    </cacheField>
    <cacheField name="יעוד" numFmtId="0">
      <sharedItems count="10">
        <s v="בניה רוויה"/>
        <s v="בניה נמוכה/צמודת קרקע/בנה ביתך"/>
        <s v="מסחר ו/או משרדים"/>
        <s v="תעשיה"/>
        <s v="אחר"/>
        <s v="כריה וחציבה"/>
        <s v="דיור מוגן (בית אבות)"/>
        <s v="מלונאות"/>
        <s v="מגורים ו/או מסחר ו/או מלונאות ו/או נופש"/>
        <s v="ספורט ו/או נופש ו/או תיירות ו/או מלונאות"/>
      </sharedItems>
    </cacheField>
    <cacheField name="סוג מכרז" numFmtId="0">
      <sharedItems/>
    </cacheField>
    <cacheField name="מס' מגרש/מתחם" numFmtId="0">
      <sharedItems containsMixedTypes="1" containsNumber="1" containsInteger="1" minValue="1" maxValue="46317"/>
    </cacheField>
    <cacheField name="ישוב, שכונה" numFmtId="0">
      <sharedItems/>
    </cacheField>
    <cacheField name="ישוב" numFmtId="0">
      <sharedItems count="27">
        <s v="אילת"/>
        <s v="אשקלון"/>
        <s v="באר שבע"/>
        <s v="בית שמש"/>
        <s v="הרצליה"/>
        <s v="חדרה"/>
        <s v="חולון"/>
        <s v="חצור הגלילית"/>
        <s v="טירת הכרמל"/>
        <s v="יבנה"/>
        <s v="ירוחם"/>
        <s v="כפר מנדא"/>
        <s v="מבשרת ציון"/>
        <s v="מג'ד אל כרום (שאג'ור)"/>
        <s v="מודיעין-מכבים-רעות"/>
        <s v="מעלות תרשיחא"/>
        <s v="נתניה"/>
        <s v="סחנין"/>
        <s v="עכו"/>
        <s v="עפולה"/>
        <s v="קרית ביאליק"/>
        <s v="קרית גת"/>
        <s v="קרית שמונה"/>
        <s v="ראשון לציון"/>
        <s v="רמלה"/>
        <s v="שלומי"/>
        <s v="ראש העין"/>
      </sharedItems>
    </cacheField>
    <cacheField name="תאריך החלטה" numFmtId="14">
      <sharedItems containsSemiMixedTypes="0" containsNonDate="0" containsDate="1" containsString="0" minDate="2003-04-06T00:00:00" maxDate="2017-08-06T00:00:00"/>
    </cacheField>
    <cacheField name="שנה" numFmtId="0">
      <sharedItems containsSemiMixedTypes="0" containsString="0" containsNumber="1" containsInteger="1" minValue="2003" maxValue="2017" count="12">
        <n v="2017"/>
        <n v="2016"/>
        <n v="2014"/>
        <n v="2015"/>
        <n v="2013"/>
        <n v="2012"/>
        <n v="2008"/>
        <n v="2011"/>
        <n v="2010"/>
        <n v="2009"/>
        <n v="2007"/>
        <n v="2003"/>
      </sharedItems>
    </cacheField>
    <cacheField name="חודש" numFmtId="0">
      <sharedItems containsSemiMixedTypes="0" containsString="0" containsNumber="1" containsInteger="1" minValue="1" maxValue="12"/>
    </cacheField>
    <cacheField name="מס' מכרז" numFmtId="0">
      <sharedItems/>
    </cacheField>
    <cacheField name="רלבנטיות להסכם הגג" numFmtId="0">
      <sharedItems containsBlank="1" count="4">
        <e v="#N/A"/>
        <s v="כן"/>
        <s v="לא"/>
        <m/>
      </sharedItems>
    </cacheField>
    <cacheField name="מס' יח&quot;ד" numFmtId="0">
      <sharedItems containsString="0" containsBlank="1" containsNumber="1" minValue="1" maxValue="1072"/>
    </cacheField>
    <cacheField name="מ&quot;ר לפיתוח" numFmtId="0">
      <sharedItems containsString="0" containsBlank="1" containsNumber="1" minValue="311" maxValue="391647"/>
    </cacheField>
    <cacheField name="הכנסות פיתוח מהמתחם" numFmtId="164">
      <sharedItems containsMixedTypes="1" containsNumber="1" containsInteger="1" minValue="-8943550" maxValue="207567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04">
  <r>
    <x v="0"/>
    <n v="9341011"/>
    <x v="0"/>
    <s v="  "/>
    <n v="30445"/>
    <s v="אילת, שחמון 11"/>
    <x v="0"/>
    <d v="2017-04-04T00:00:00"/>
    <x v="0"/>
    <n v="4"/>
    <s v="בש/165/2016"/>
    <x v="0"/>
    <n v="18"/>
    <n v="6979"/>
    <s v="אין הצעות למתחם זה"/>
  </r>
  <r>
    <x v="0"/>
    <n v="25367885"/>
    <x v="0"/>
    <s v="  "/>
    <n v="30446"/>
    <s v="אילת, שחמון 11"/>
    <x v="0"/>
    <d v="2017-04-04T00:00:00"/>
    <x v="0"/>
    <n v="4"/>
    <s v="בש/165/2016"/>
    <x v="0"/>
    <n v="51"/>
    <n v="18265"/>
    <s v="אין הצעות למתחם זה"/>
  </r>
  <r>
    <x v="0"/>
    <n v="7486724"/>
    <x v="0"/>
    <s v="  "/>
    <n v="30447"/>
    <s v="אילת, שחמון 11"/>
    <x v="0"/>
    <d v="2017-04-04T00:00:00"/>
    <x v="0"/>
    <n v="4"/>
    <s v="בש/165/2016"/>
    <x v="0"/>
    <n v="15"/>
    <n v="5758"/>
    <s v="אין הצעות למתחם זה"/>
  </r>
  <r>
    <x v="1"/>
    <n v="13851104"/>
    <x v="0"/>
    <s v="מחיר למשתכן"/>
    <n v="37969"/>
    <s v="אשקלון, אינפילים"/>
    <x v="1"/>
    <d v="2016-05-23T00:00:00"/>
    <x v="1"/>
    <n v="5"/>
    <s v="ים/313/2015"/>
    <x v="1"/>
    <n v="161"/>
    <n v="18530"/>
    <n v="-8943550"/>
  </r>
  <r>
    <x v="2"/>
    <n v="3891477"/>
    <x v="0"/>
    <s v="מחיר למשתכן"/>
    <n v="37968"/>
    <s v="אשקלון, כוכב הצפון - מגדל"/>
    <x v="1"/>
    <d v="2016-04-18T00:00:00"/>
    <x v="1"/>
    <n v="4"/>
    <s v="ים/314/2015"/>
    <x v="1"/>
    <n v="40"/>
    <n v="3723"/>
    <n v="-1622000"/>
  </r>
  <r>
    <x v="3"/>
    <n v="7404752"/>
    <x v="0"/>
    <s v="מחיר למשתכן"/>
    <s v="ב"/>
    <s v="אשקלון, הבלוט"/>
    <x v="1"/>
    <d v="2016-05-16T00:00:00"/>
    <x v="1"/>
    <n v="5"/>
    <s v="ים/337/2015"/>
    <x v="1"/>
    <n v="84"/>
    <n v="5998"/>
    <n v="1633800"/>
  </r>
  <r>
    <x v="4"/>
    <n v="7259313"/>
    <x v="0"/>
    <s v="מחיר למשתכן"/>
    <s v="ד"/>
    <s v="אשקלון, הבלוט"/>
    <x v="1"/>
    <d v="2016-05-16T00:00:00"/>
    <x v="1"/>
    <n v="5"/>
    <s v="ים/337/2015"/>
    <x v="1"/>
    <n v="84"/>
    <n v="5634"/>
    <n v="2263800"/>
  </r>
  <r>
    <x v="5"/>
    <n v="7290421"/>
    <x v="0"/>
    <s v="מחיר למשתכן"/>
    <s v="ו"/>
    <s v="אשקלון, הבלוט"/>
    <x v="1"/>
    <d v="2016-05-16T00:00:00"/>
    <x v="1"/>
    <n v="5"/>
    <s v="ים/337/2015"/>
    <x v="1"/>
    <n v="84"/>
    <n v="5712"/>
    <n v="2893800"/>
  </r>
  <r>
    <x v="6"/>
    <n v="5274130"/>
    <x v="0"/>
    <s v="מחיר למשתכן"/>
    <s v="א"/>
    <s v="אשקלון, הבלוט"/>
    <x v="1"/>
    <d v="2016-05-16T00:00:00"/>
    <x v="1"/>
    <n v="5"/>
    <s v="ים/337/2015"/>
    <x v="1"/>
    <n v="56"/>
    <n v="4673"/>
    <n v="1988000"/>
  </r>
  <r>
    <x v="7"/>
    <n v="10407526"/>
    <x v="0"/>
    <s v="מחיר למשתכן"/>
    <s v="ג"/>
    <s v="אשקלון, הבלוט"/>
    <x v="1"/>
    <d v="2016-05-16T00:00:00"/>
    <x v="1"/>
    <n v="5"/>
    <s v="ים/337/2015"/>
    <x v="1"/>
    <n v="100"/>
    <n v="7750"/>
    <n v="4832500"/>
  </r>
  <r>
    <x v="8"/>
    <n v="10501239"/>
    <x v="0"/>
    <s v="מחיר למשתכן"/>
    <s v="ז"/>
    <s v="אשקלון, הבלוט"/>
    <x v="1"/>
    <d v="2016-05-16T00:00:00"/>
    <x v="1"/>
    <n v="5"/>
    <s v="ים/337/2015"/>
    <x v="1"/>
    <n v="112"/>
    <n v="9242"/>
    <n v="5647600"/>
  </r>
  <r>
    <x v="9"/>
    <n v="4813170"/>
    <x v="0"/>
    <s v="מחיר למשתכן"/>
    <s v="ה"/>
    <s v="אשקלון, הבלוט"/>
    <x v="1"/>
    <d v="2016-05-16T00:00:00"/>
    <x v="1"/>
    <n v="5"/>
    <s v="ים/337/2015"/>
    <x v="1"/>
    <n v="56"/>
    <n v="3544"/>
    <n v="3189200"/>
  </r>
  <r>
    <x v="10"/>
    <n v="9248818"/>
    <x v="0"/>
    <s v="מחיר למשתכן"/>
    <s v="ח"/>
    <s v="אשקלון, הבלוט"/>
    <x v="1"/>
    <d v="2016-05-16T00:00:00"/>
    <x v="1"/>
    <n v="5"/>
    <s v="ים/337/2015"/>
    <x v="1"/>
    <n v="114"/>
    <n v="5235"/>
    <n v="14743050"/>
  </r>
  <r>
    <x v="11"/>
    <n v="5682115"/>
    <x v="0"/>
    <s v="  "/>
    <n v="22536"/>
    <s v="אשקלון, אגמים"/>
    <x v="1"/>
    <d v="2014-05-18T00:00:00"/>
    <x v="2"/>
    <n v="5"/>
    <s v="ים/305/2013"/>
    <x v="2"/>
    <n v="54"/>
    <m/>
    <n v="108000"/>
  </r>
  <r>
    <x v="12"/>
    <n v="12522645"/>
    <x v="0"/>
    <s v="  "/>
    <n v="22521"/>
    <s v="אשקלון, אגמים"/>
    <x v="1"/>
    <d v="2014-11-10T00:00:00"/>
    <x v="2"/>
    <n v="11"/>
    <s v="ים/200/2014"/>
    <x v="2"/>
    <n v="81"/>
    <m/>
    <n v="210600"/>
  </r>
  <r>
    <x v="13"/>
    <n v="9083261"/>
    <x v="0"/>
    <s v="  "/>
    <n v="22520"/>
    <s v="אשקלון, אגמים"/>
    <x v="1"/>
    <d v="2014-11-10T00:00:00"/>
    <x v="2"/>
    <n v="11"/>
    <s v="ים/200/2014"/>
    <x v="2"/>
    <n v="58"/>
    <m/>
    <n v="218018"/>
  </r>
  <r>
    <x v="14"/>
    <n v="8740558"/>
    <x v="0"/>
    <s v="  "/>
    <n v="22514"/>
    <s v="אשקלון, אגמים"/>
    <x v="1"/>
    <d v="2014-05-18T00:00:00"/>
    <x v="2"/>
    <n v="5"/>
    <s v="ים/305/2013"/>
    <x v="2"/>
    <n v="88"/>
    <m/>
    <n v="228800"/>
  </r>
  <r>
    <x v="15"/>
    <n v="185204"/>
    <x v="1"/>
    <s v="  "/>
    <n v="193"/>
    <s v="אשקלון, הרצוג"/>
    <x v="1"/>
    <d v="2014-04-27T00:00:00"/>
    <x v="2"/>
    <n v="4"/>
    <s v="ים/310/2013"/>
    <x v="2"/>
    <n v="1"/>
    <m/>
    <n v="309668"/>
  </r>
  <r>
    <x v="16"/>
    <n v="189202"/>
    <x v="1"/>
    <s v="  "/>
    <n v="228"/>
    <s v="אשקלון, הרצוג"/>
    <x v="1"/>
    <d v="2014-04-27T00:00:00"/>
    <x v="2"/>
    <n v="4"/>
    <s v="ים/310/2013"/>
    <x v="2"/>
    <n v="1"/>
    <m/>
    <n v="314818"/>
  </r>
  <r>
    <x v="17"/>
    <n v="11085541"/>
    <x v="0"/>
    <s v="  "/>
    <n v="22517"/>
    <s v="אשקלון, אגמים"/>
    <x v="1"/>
    <d v="2015-03-01T00:00:00"/>
    <x v="3"/>
    <n v="3"/>
    <s v="ים/341/2014"/>
    <x v="2"/>
    <n v="72"/>
    <m/>
    <n v="342000"/>
  </r>
  <r>
    <x v="18"/>
    <n v="220740"/>
    <x v="1"/>
    <s v="  "/>
    <n v="403"/>
    <s v="אשקלון, הרצוג"/>
    <x v="1"/>
    <d v="2014-04-27T00:00:00"/>
    <x v="2"/>
    <n v="4"/>
    <s v="ים/310/2013"/>
    <x v="2"/>
    <n v="1"/>
    <m/>
    <n v="412532"/>
  </r>
  <r>
    <x v="18"/>
    <n v="220740"/>
    <x v="1"/>
    <s v="  "/>
    <n v="405"/>
    <s v="אשקלון, הרצוג"/>
    <x v="1"/>
    <d v="2014-04-27T00:00:00"/>
    <x v="2"/>
    <n v="4"/>
    <s v="ים/310/2013"/>
    <x v="2"/>
    <n v="1"/>
    <m/>
    <n v="412532"/>
  </r>
  <r>
    <x v="19"/>
    <n v="8670130"/>
    <x v="0"/>
    <s v="  "/>
    <n v="22529"/>
    <s v="אשקלון"/>
    <x v="1"/>
    <d v="2015-07-19T00:00:00"/>
    <x v="3"/>
    <n v="7"/>
    <s v="ים/49/2015"/>
    <x v="2"/>
    <n v="50"/>
    <m/>
    <n v="414000"/>
  </r>
  <r>
    <x v="20"/>
    <n v="189646"/>
    <x v="1"/>
    <s v="  "/>
    <n v="198"/>
    <s v="אשקלון, הרצוג"/>
    <x v="1"/>
    <d v="2014-03-09T00:00:00"/>
    <x v="2"/>
    <n v="3"/>
    <s v="ים/319/2013"/>
    <x v="2"/>
    <n v="1"/>
    <m/>
    <n v="434436"/>
  </r>
  <r>
    <x v="21"/>
    <n v="179207"/>
    <x v="1"/>
    <s v="  "/>
    <n v="233"/>
    <s v="אשקלון, הרצוג"/>
    <x v="1"/>
    <d v="2014-03-09T00:00:00"/>
    <x v="2"/>
    <n v="3"/>
    <s v="ים/319/2013"/>
    <x v="2"/>
    <n v="1"/>
    <m/>
    <n v="458371"/>
  </r>
  <r>
    <x v="22"/>
    <n v="7643529"/>
    <x v="0"/>
    <s v="  "/>
    <n v="22527"/>
    <s v="אשקלון"/>
    <x v="1"/>
    <d v="2015-07-19T00:00:00"/>
    <x v="3"/>
    <n v="7"/>
    <s v="ים/49/2015"/>
    <x v="2"/>
    <n v="40"/>
    <m/>
    <n v="460000"/>
  </r>
  <r>
    <x v="23"/>
    <n v="6800712"/>
    <x v="0"/>
    <s v="  "/>
    <n v="22542"/>
    <s v="אשקלון"/>
    <x v="1"/>
    <d v="2015-07-19T00:00:00"/>
    <x v="3"/>
    <n v="7"/>
    <s v="ים/49/2015"/>
    <x v="2"/>
    <n v="40"/>
    <m/>
    <n v="500000"/>
  </r>
  <r>
    <x v="24"/>
    <n v="340804"/>
    <x v="1"/>
    <s v="  "/>
    <n v="532"/>
    <s v="אשקלון, הרצוג"/>
    <x v="1"/>
    <d v="2016-04-06T00:00:00"/>
    <x v="1"/>
    <n v="4"/>
    <s v="ים/233/2015"/>
    <x v="2"/>
    <n v="1"/>
    <m/>
    <n v="501666"/>
  </r>
  <r>
    <x v="25"/>
    <n v="340804"/>
    <x v="1"/>
    <s v="  "/>
    <n v="478"/>
    <s v="אשקלון, הרצוג"/>
    <x v="1"/>
    <d v="2016-04-06T00:00:00"/>
    <x v="1"/>
    <n v="4"/>
    <s v="ים/233/2015"/>
    <x v="2"/>
    <n v="1"/>
    <m/>
    <n v="510000"/>
  </r>
  <r>
    <x v="26"/>
    <n v="338210"/>
    <x v="1"/>
    <s v="  "/>
    <n v="475"/>
    <s v="אשקלון, הרצוג"/>
    <x v="1"/>
    <d v="2016-04-06T00:00:00"/>
    <x v="1"/>
    <n v="4"/>
    <s v="ים/233/2015"/>
    <x v="2"/>
    <n v="1"/>
    <m/>
    <n v="520000"/>
  </r>
  <r>
    <x v="27"/>
    <n v="189201"/>
    <x v="1"/>
    <s v="  "/>
    <n v="141"/>
    <s v="אשקלון, הרצוג"/>
    <x v="1"/>
    <d v="2014-03-09T00:00:00"/>
    <x v="2"/>
    <n v="3"/>
    <s v="ים/319/2013"/>
    <x v="2"/>
    <n v="1"/>
    <m/>
    <n v="521000"/>
  </r>
  <r>
    <x v="28"/>
    <n v="8117964"/>
    <x v="0"/>
    <s v="  "/>
    <n v="22524"/>
    <s v="אשקלון"/>
    <x v="1"/>
    <d v="2015-07-19T00:00:00"/>
    <x v="3"/>
    <n v="7"/>
    <s v="ים/49/2015"/>
    <x v="2"/>
    <n v="48"/>
    <m/>
    <n v="522000"/>
  </r>
  <r>
    <x v="29"/>
    <n v="222072"/>
    <x v="1"/>
    <s v="  "/>
    <n v="291"/>
    <s v="אשקלון, הרצוג"/>
    <x v="1"/>
    <d v="2014-03-09T00:00:00"/>
    <x v="2"/>
    <n v="3"/>
    <s v="ים/319/2013"/>
    <x v="2"/>
    <n v="1"/>
    <m/>
    <n v="527000"/>
  </r>
  <r>
    <x v="30"/>
    <n v="220517"/>
    <x v="1"/>
    <s v="  "/>
    <n v="423"/>
    <s v="אשקלון, הרצוג"/>
    <x v="1"/>
    <d v="2014-03-09T00:00:00"/>
    <x v="2"/>
    <n v="3"/>
    <s v="ים/319/2013"/>
    <x v="2"/>
    <n v="1"/>
    <m/>
    <n v="537000"/>
  </r>
  <r>
    <x v="31"/>
    <n v="220295"/>
    <x v="1"/>
    <s v="  "/>
    <n v="292"/>
    <s v="אשקלון, הרצוג"/>
    <x v="1"/>
    <d v="2014-03-09T00:00:00"/>
    <x v="2"/>
    <n v="3"/>
    <s v="ים/319/2013"/>
    <x v="2"/>
    <n v="1"/>
    <m/>
    <n v="541000"/>
  </r>
  <r>
    <x v="32"/>
    <n v="337345"/>
    <x v="1"/>
    <s v="  "/>
    <n v="469"/>
    <s v="אשקלון, הרצוג"/>
    <x v="1"/>
    <d v="2016-04-06T00:00:00"/>
    <x v="1"/>
    <n v="4"/>
    <s v="ים/233/2015"/>
    <x v="2"/>
    <n v="1"/>
    <m/>
    <n v="550000"/>
  </r>
  <r>
    <x v="32"/>
    <n v="340804"/>
    <x v="1"/>
    <s v="  "/>
    <n v="477"/>
    <s v="אשקלון, הרצוג"/>
    <x v="1"/>
    <d v="2016-04-06T00:00:00"/>
    <x v="1"/>
    <n v="4"/>
    <s v="ים/233/2015"/>
    <x v="2"/>
    <n v="1"/>
    <m/>
    <n v="550000"/>
  </r>
  <r>
    <x v="33"/>
    <n v="222738"/>
    <x v="1"/>
    <s v="  "/>
    <n v="454"/>
    <s v="אשקלון, הרצוג"/>
    <x v="1"/>
    <d v="2014-03-09T00:00:00"/>
    <x v="2"/>
    <n v="3"/>
    <s v="ים/319/2013"/>
    <x v="2"/>
    <n v="1"/>
    <m/>
    <n v="554000"/>
  </r>
  <r>
    <x v="34"/>
    <n v="336480"/>
    <x v="1"/>
    <s v="  "/>
    <n v="470"/>
    <s v="אשקלון, הרצוג"/>
    <x v="1"/>
    <d v="2016-04-06T00:00:00"/>
    <x v="1"/>
    <n v="4"/>
    <s v="ים/233/2015"/>
    <x v="2"/>
    <n v="1"/>
    <m/>
    <n v="559999"/>
  </r>
  <r>
    <x v="35"/>
    <n v="220517"/>
    <x v="1"/>
    <s v="  "/>
    <n v="364"/>
    <s v="אשקלון, הרצוג"/>
    <x v="1"/>
    <d v="2014-03-09T00:00:00"/>
    <x v="2"/>
    <n v="3"/>
    <s v="ים/319/2013"/>
    <x v="2"/>
    <n v="1"/>
    <m/>
    <n v="560000"/>
  </r>
  <r>
    <x v="36"/>
    <n v="220517"/>
    <x v="1"/>
    <s v="  "/>
    <n v="349"/>
    <s v="אשקלון, הרצוג"/>
    <x v="1"/>
    <d v="2014-03-09T00:00:00"/>
    <x v="2"/>
    <n v="3"/>
    <s v="ים/319/2013"/>
    <x v="2"/>
    <n v="1"/>
    <m/>
    <n v="561000"/>
  </r>
  <r>
    <x v="37"/>
    <n v="234065"/>
    <x v="1"/>
    <s v="  "/>
    <n v="412"/>
    <s v="אשקלון, הרצוג"/>
    <x v="1"/>
    <d v="2014-03-09T00:00:00"/>
    <x v="2"/>
    <n v="3"/>
    <s v="ים/319/2013"/>
    <x v="2"/>
    <n v="1"/>
    <m/>
    <n v="562105"/>
  </r>
  <r>
    <x v="38"/>
    <n v="339939"/>
    <x v="1"/>
    <s v="  "/>
    <n v="546"/>
    <s v="אשקלון, הרצוג"/>
    <x v="1"/>
    <d v="2016-04-06T00:00:00"/>
    <x v="1"/>
    <n v="4"/>
    <s v="ים/233/2015"/>
    <x v="2"/>
    <n v="1"/>
    <m/>
    <n v="565888"/>
  </r>
  <r>
    <x v="39"/>
    <n v="175653"/>
    <x v="1"/>
    <s v="  "/>
    <n v="120"/>
    <s v="אשקלון, הרצוג"/>
    <x v="1"/>
    <d v="2014-03-09T00:00:00"/>
    <x v="2"/>
    <n v="3"/>
    <s v="ים/319/2013"/>
    <x v="2"/>
    <n v="1"/>
    <m/>
    <n v="580000"/>
  </r>
  <r>
    <x v="40"/>
    <n v="220517"/>
    <x v="1"/>
    <s v="  "/>
    <n v="344"/>
    <s v="אשקלון, הרצוג"/>
    <x v="1"/>
    <d v="2014-03-09T00:00:00"/>
    <x v="2"/>
    <n v="3"/>
    <s v="ים/319/2013"/>
    <x v="2"/>
    <n v="1"/>
    <m/>
    <n v="582187"/>
  </r>
  <r>
    <x v="41"/>
    <n v="337633"/>
    <x v="1"/>
    <s v="  "/>
    <n v="521"/>
    <s v="אשקלון, הרצוג"/>
    <x v="1"/>
    <d v="2016-04-06T00:00:00"/>
    <x v="1"/>
    <n v="4"/>
    <s v="ים/233/2015"/>
    <x v="2"/>
    <n v="1"/>
    <m/>
    <n v="598547"/>
  </r>
  <r>
    <x v="42"/>
    <n v="336480"/>
    <x v="1"/>
    <s v="  "/>
    <n v="472"/>
    <s v="אשקלון, הרצוג"/>
    <x v="1"/>
    <d v="2016-04-06T00:00:00"/>
    <x v="1"/>
    <n v="4"/>
    <s v="ים/233/2015"/>
    <x v="2"/>
    <n v="1"/>
    <m/>
    <n v="600000"/>
  </r>
  <r>
    <x v="42"/>
    <n v="341381"/>
    <x v="1"/>
    <s v="  "/>
    <n v="520"/>
    <s v="אשקלון, הרצוג"/>
    <x v="1"/>
    <d v="2016-04-06T00:00:00"/>
    <x v="1"/>
    <n v="4"/>
    <s v="ים/233/2015"/>
    <x v="2"/>
    <n v="1"/>
    <m/>
    <n v="600000"/>
  </r>
  <r>
    <x v="43"/>
    <n v="227846"/>
    <x v="1"/>
    <s v="  "/>
    <n v="377"/>
    <s v="אשקלון, הרצוג"/>
    <x v="1"/>
    <d v="2014-03-09T00:00:00"/>
    <x v="2"/>
    <n v="3"/>
    <s v="ים/319/2013"/>
    <x v="2"/>
    <n v="1"/>
    <m/>
    <n v="602500"/>
  </r>
  <r>
    <x v="43"/>
    <n v="229401"/>
    <x v="1"/>
    <s v="  "/>
    <n v="337"/>
    <s v="אשקלון, הרצוג"/>
    <x v="1"/>
    <d v="2014-03-09T00:00:00"/>
    <x v="2"/>
    <n v="3"/>
    <s v="ים/319/2013"/>
    <x v="2"/>
    <n v="1"/>
    <m/>
    <n v="602500"/>
  </r>
  <r>
    <x v="43"/>
    <n v="229401"/>
    <x v="1"/>
    <s v="  "/>
    <n v="370"/>
    <s v="אשקלון, הרצוג"/>
    <x v="1"/>
    <d v="2014-03-09T00:00:00"/>
    <x v="2"/>
    <n v="3"/>
    <s v="ים/319/2013"/>
    <x v="2"/>
    <n v="1"/>
    <m/>
    <n v="602500"/>
  </r>
  <r>
    <x v="44"/>
    <n v="188091"/>
    <x v="1"/>
    <s v="  "/>
    <n v="133"/>
    <s v="אשקלון, הרצוג"/>
    <x v="1"/>
    <d v="2014-03-09T00:00:00"/>
    <x v="2"/>
    <n v="3"/>
    <s v="ים/319/2013"/>
    <x v="2"/>
    <n v="1"/>
    <m/>
    <n v="606702"/>
  </r>
  <r>
    <x v="45"/>
    <n v="337633"/>
    <x v="1"/>
    <s v="  "/>
    <n v="524"/>
    <s v="אשקלון, הרצוג"/>
    <x v="1"/>
    <d v="2016-04-06T00:00:00"/>
    <x v="1"/>
    <n v="4"/>
    <s v="ים/233/2015"/>
    <x v="2"/>
    <n v="1"/>
    <m/>
    <n v="610000"/>
  </r>
  <r>
    <x v="46"/>
    <n v="340228"/>
    <x v="1"/>
    <s v="  "/>
    <n v="544"/>
    <s v="אשקלון, הרצוג"/>
    <x v="1"/>
    <d v="2016-04-06T00:00:00"/>
    <x v="1"/>
    <n v="4"/>
    <s v="ים/233/2015"/>
    <x v="2"/>
    <n v="1"/>
    <m/>
    <n v="610500"/>
  </r>
  <r>
    <x v="47"/>
    <n v="337921"/>
    <x v="1"/>
    <s v="  "/>
    <n v="473"/>
    <s v="אשקלון, הרצוג"/>
    <x v="1"/>
    <d v="2016-04-06T00:00:00"/>
    <x v="1"/>
    <n v="4"/>
    <s v="ים/233/2015"/>
    <x v="2"/>
    <n v="1"/>
    <m/>
    <n v="613565"/>
  </r>
  <r>
    <x v="48"/>
    <n v="339939"/>
    <x v="1"/>
    <s v="  "/>
    <n v="526"/>
    <s v="אשקלון, הרצוג"/>
    <x v="1"/>
    <d v="2016-04-06T00:00:00"/>
    <x v="1"/>
    <n v="4"/>
    <s v="ים/233/2015"/>
    <x v="2"/>
    <n v="1"/>
    <m/>
    <n v="614000"/>
  </r>
  <r>
    <x v="49"/>
    <n v="340516"/>
    <x v="1"/>
    <s v="  "/>
    <n v="482"/>
    <s v="אשקלון, הרצוג"/>
    <x v="1"/>
    <d v="2016-04-06T00:00:00"/>
    <x v="1"/>
    <n v="4"/>
    <s v="ים/233/2015"/>
    <x v="2"/>
    <n v="1"/>
    <m/>
    <n v="616122"/>
  </r>
  <r>
    <x v="50"/>
    <n v="337633"/>
    <x v="1"/>
    <s v="  "/>
    <n v="522"/>
    <s v="אשקלון, הרצוג"/>
    <x v="1"/>
    <d v="2016-04-06T00:00:00"/>
    <x v="1"/>
    <n v="4"/>
    <s v="ים/233/2015"/>
    <x v="2"/>
    <n v="1"/>
    <m/>
    <n v="617000"/>
  </r>
  <r>
    <x v="51"/>
    <n v="220517"/>
    <x v="1"/>
    <s v="  "/>
    <n v="399"/>
    <s v="אשקלון, הרצוג"/>
    <x v="1"/>
    <d v="2014-03-09T00:00:00"/>
    <x v="2"/>
    <n v="3"/>
    <s v="ים/319/2013"/>
    <x v="2"/>
    <n v="1"/>
    <m/>
    <n v="618206"/>
  </r>
  <r>
    <x v="52"/>
    <n v="337633"/>
    <x v="1"/>
    <s v="  "/>
    <n v="508"/>
    <s v="אשקלון, הרצוג"/>
    <x v="1"/>
    <d v="2016-04-06T00:00:00"/>
    <x v="1"/>
    <n v="4"/>
    <s v="ים/233/2015"/>
    <x v="2"/>
    <n v="1"/>
    <m/>
    <n v="620000"/>
  </r>
  <r>
    <x v="52"/>
    <n v="337633"/>
    <x v="1"/>
    <s v="  "/>
    <n v="530"/>
    <s v="אשקלון, הרצוג"/>
    <x v="1"/>
    <d v="2016-04-06T00:00:00"/>
    <x v="1"/>
    <n v="4"/>
    <s v="ים/233/2015"/>
    <x v="2"/>
    <n v="1"/>
    <m/>
    <n v="620000"/>
  </r>
  <r>
    <x v="52"/>
    <n v="338210"/>
    <x v="1"/>
    <s v="  "/>
    <n v="468"/>
    <s v="אשקלון, הרצוג"/>
    <x v="1"/>
    <d v="2016-04-06T00:00:00"/>
    <x v="1"/>
    <n v="4"/>
    <s v="ים/233/2015"/>
    <x v="2"/>
    <n v="1"/>
    <m/>
    <n v="620000"/>
  </r>
  <r>
    <x v="53"/>
    <n v="340516"/>
    <x v="1"/>
    <s v="  "/>
    <n v="480"/>
    <s v="אשקלון, הרצוג"/>
    <x v="1"/>
    <d v="2016-04-06T00:00:00"/>
    <x v="1"/>
    <n v="4"/>
    <s v="ים/233/2015"/>
    <x v="2"/>
    <n v="1"/>
    <m/>
    <n v="622108"/>
  </r>
  <r>
    <x v="54"/>
    <n v="338210"/>
    <x v="1"/>
    <s v="  "/>
    <n v="474"/>
    <s v="אשקלון, הרצוג"/>
    <x v="1"/>
    <d v="2016-04-06T00:00:00"/>
    <x v="1"/>
    <n v="4"/>
    <s v="ים/233/2015"/>
    <x v="2"/>
    <n v="1"/>
    <m/>
    <n v="622938"/>
  </r>
  <r>
    <x v="55"/>
    <n v="340516"/>
    <x v="1"/>
    <s v="  "/>
    <n v="481"/>
    <s v="אשקלון, הרצוג"/>
    <x v="1"/>
    <d v="2016-04-06T00:00:00"/>
    <x v="1"/>
    <n v="4"/>
    <s v="ים/233/2015"/>
    <x v="2"/>
    <n v="1"/>
    <m/>
    <n v="625528"/>
  </r>
  <r>
    <x v="56"/>
    <n v="339074"/>
    <x v="1"/>
    <s v="  "/>
    <n v="591"/>
    <s v="אשקלון, הרצוג"/>
    <x v="1"/>
    <d v="2016-04-06T00:00:00"/>
    <x v="1"/>
    <n v="4"/>
    <s v="ים/233/2015"/>
    <x v="2"/>
    <n v="1"/>
    <m/>
    <n v="626227"/>
  </r>
  <r>
    <x v="57"/>
    <n v="332443"/>
    <x v="1"/>
    <s v="  "/>
    <n v="507"/>
    <s v="אשקלון, הרצוג"/>
    <x v="1"/>
    <d v="2016-04-06T00:00:00"/>
    <x v="1"/>
    <n v="4"/>
    <s v="ים/233/2015"/>
    <x v="2"/>
    <n v="1"/>
    <m/>
    <n v="629999"/>
  </r>
  <r>
    <x v="58"/>
    <n v="337633"/>
    <x v="1"/>
    <s v="  "/>
    <n v="509"/>
    <s v="אשקלון, הרצוג"/>
    <x v="1"/>
    <d v="2016-04-06T00:00:00"/>
    <x v="1"/>
    <n v="4"/>
    <s v="ים/233/2015"/>
    <x v="2"/>
    <n v="1"/>
    <m/>
    <n v="635555"/>
  </r>
  <r>
    <x v="59"/>
    <n v="339651"/>
    <x v="1"/>
    <s v="  "/>
    <n v="545"/>
    <s v="אשקלון, הרצוג"/>
    <x v="1"/>
    <d v="2016-04-06T00:00:00"/>
    <x v="1"/>
    <n v="4"/>
    <s v="ים/233/2015"/>
    <x v="2"/>
    <n v="1"/>
    <m/>
    <n v="638642"/>
  </r>
  <r>
    <x v="60"/>
    <n v="337921"/>
    <x v="1"/>
    <s v="  "/>
    <n v="506"/>
    <s v="אשקלון, הרצוג"/>
    <x v="1"/>
    <d v="2016-04-06T00:00:00"/>
    <x v="1"/>
    <n v="4"/>
    <s v="ים/233/2015"/>
    <x v="2"/>
    <n v="1"/>
    <m/>
    <n v="643000"/>
  </r>
  <r>
    <x v="61"/>
    <n v="339939"/>
    <x v="1"/>
    <s v="  "/>
    <n v="588"/>
    <s v="אשקלון, הרצוג"/>
    <x v="1"/>
    <d v="2016-04-06T00:00:00"/>
    <x v="1"/>
    <n v="4"/>
    <s v="ים/233/2015"/>
    <x v="2"/>
    <n v="1"/>
    <m/>
    <n v="643233"/>
  </r>
  <r>
    <x v="62"/>
    <n v="339074"/>
    <x v="1"/>
    <s v="  "/>
    <n v="467"/>
    <s v="אשקלון, הרצוג"/>
    <x v="1"/>
    <d v="2016-04-06T00:00:00"/>
    <x v="1"/>
    <n v="4"/>
    <s v="ים/233/2015"/>
    <x v="2"/>
    <n v="1"/>
    <m/>
    <n v="645679"/>
  </r>
  <r>
    <x v="63"/>
    <n v="337633"/>
    <x v="1"/>
    <s v="  "/>
    <n v="515"/>
    <s v="אשקלון, הרצוג"/>
    <x v="1"/>
    <d v="2016-04-06T00:00:00"/>
    <x v="1"/>
    <n v="4"/>
    <s v="ים/233/2015"/>
    <x v="2"/>
    <n v="1"/>
    <m/>
    <n v="647512"/>
  </r>
  <r>
    <x v="64"/>
    <n v="337633"/>
    <x v="1"/>
    <s v="  "/>
    <n v="528"/>
    <s v="אשקלון, הרצוג"/>
    <x v="1"/>
    <d v="2016-04-06T00:00:00"/>
    <x v="1"/>
    <n v="4"/>
    <s v="ים/233/2015"/>
    <x v="2"/>
    <n v="1"/>
    <m/>
    <n v="651000"/>
  </r>
  <r>
    <x v="65"/>
    <n v="339363"/>
    <x v="1"/>
    <s v="  "/>
    <n v="547"/>
    <s v="אשקלון, הרצוג"/>
    <x v="1"/>
    <d v="2016-04-06T00:00:00"/>
    <x v="1"/>
    <n v="4"/>
    <s v="ים/233/2015"/>
    <x v="2"/>
    <n v="1"/>
    <m/>
    <n v="655255"/>
  </r>
  <r>
    <x v="66"/>
    <n v="339939"/>
    <x v="1"/>
    <s v="  "/>
    <n v="542"/>
    <s v="אשקלון, הרצוג"/>
    <x v="1"/>
    <d v="2016-04-06T00:00:00"/>
    <x v="1"/>
    <n v="4"/>
    <s v="ים/233/2015"/>
    <x v="2"/>
    <n v="1"/>
    <m/>
    <n v="659000"/>
  </r>
  <r>
    <x v="67"/>
    <n v="338210"/>
    <x v="1"/>
    <s v="  "/>
    <n v="525"/>
    <s v="אשקלון, הרצוג"/>
    <x v="1"/>
    <d v="2016-04-06T00:00:00"/>
    <x v="1"/>
    <n v="4"/>
    <s v="ים/233/2015"/>
    <x v="2"/>
    <n v="1"/>
    <m/>
    <n v="659255"/>
  </r>
  <r>
    <x v="68"/>
    <n v="340516"/>
    <x v="1"/>
    <s v="  "/>
    <n v="536"/>
    <s v="אשקלון, הרצוג"/>
    <x v="1"/>
    <d v="2016-04-06T00:00:00"/>
    <x v="1"/>
    <n v="4"/>
    <s v="ים/233/2015"/>
    <x v="2"/>
    <n v="1"/>
    <m/>
    <n v="659999"/>
  </r>
  <r>
    <x v="69"/>
    <n v="337633"/>
    <x v="1"/>
    <s v="  "/>
    <n v="523"/>
    <s v="אשקלון, הרצוג"/>
    <x v="1"/>
    <d v="2016-04-06T00:00:00"/>
    <x v="1"/>
    <n v="4"/>
    <s v="ים/233/2015"/>
    <x v="2"/>
    <n v="1"/>
    <m/>
    <n v="660000"/>
  </r>
  <r>
    <x v="70"/>
    <n v="339651"/>
    <x v="1"/>
    <s v="  "/>
    <n v="464"/>
    <s v="אשקלון, הרצוג"/>
    <x v="1"/>
    <d v="2016-04-06T00:00:00"/>
    <x v="1"/>
    <n v="4"/>
    <s v="ים/233/2015"/>
    <x v="2"/>
    <n v="1"/>
    <m/>
    <n v="660600"/>
  </r>
  <r>
    <x v="71"/>
    <n v="341669"/>
    <x v="1"/>
    <s v="  "/>
    <n v="587"/>
    <s v="אשקלון, הרצוג"/>
    <x v="1"/>
    <d v="2016-04-06T00:00:00"/>
    <x v="1"/>
    <n v="4"/>
    <s v="ים/233/2015"/>
    <x v="2"/>
    <n v="1"/>
    <m/>
    <n v="660755"/>
  </r>
  <r>
    <x v="72"/>
    <n v="340228"/>
    <x v="1"/>
    <s v="  "/>
    <n v="459"/>
    <s v="אשקלון, הרצוג"/>
    <x v="1"/>
    <d v="2016-04-06T00:00:00"/>
    <x v="1"/>
    <n v="4"/>
    <s v="ים/233/2015"/>
    <x v="2"/>
    <n v="1"/>
    <m/>
    <n v="666999"/>
  </r>
  <r>
    <x v="73"/>
    <n v="337633"/>
    <x v="1"/>
    <s v="  "/>
    <n v="529"/>
    <s v="אשקלון, הרצוג"/>
    <x v="1"/>
    <d v="2016-04-06T00:00:00"/>
    <x v="1"/>
    <n v="4"/>
    <s v="ים/233/2015"/>
    <x v="2"/>
    <n v="1"/>
    <m/>
    <n v="670000"/>
  </r>
  <r>
    <x v="73"/>
    <n v="340516"/>
    <x v="1"/>
    <s v="  "/>
    <n v="465"/>
    <s v="אשקלון, הרצוג"/>
    <x v="1"/>
    <d v="2016-04-06T00:00:00"/>
    <x v="1"/>
    <n v="4"/>
    <s v="ים/233/2015"/>
    <x v="2"/>
    <n v="1"/>
    <m/>
    <n v="670000"/>
  </r>
  <r>
    <x v="74"/>
    <n v="340228"/>
    <x v="1"/>
    <s v="  "/>
    <n v="460"/>
    <s v="אשקלון, הרצוג"/>
    <x v="1"/>
    <d v="2016-04-06T00:00:00"/>
    <x v="1"/>
    <n v="4"/>
    <s v="ים/233/2015"/>
    <x v="2"/>
    <n v="1"/>
    <m/>
    <n v="672500"/>
  </r>
  <r>
    <x v="75"/>
    <n v="335903"/>
    <x v="1"/>
    <s v="  "/>
    <n v="471"/>
    <s v="אשקלון, הרצוג"/>
    <x v="1"/>
    <d v="2016-04-06T00:00:00"/>
    <x v="1"/>
    <n v="4"/>
    <s v="ים/233/2015"/>
    <x v="2"/>
    <n v="1"/>
    <m/>
    <n v="674000"/>
  </r>
  <r>
    <x v="76"/>
    <n v="341381"/>
    <x v="1"/>
    <s v="  "/>
    <n v="458"/>
    <s v="אשקלון, הרצוג"/>
    <x v="1"/>
    <d v="2016-04-06T00:00:00"/>
    <x v="1"/>
    <n v="4"/>
    <s v="ים/233/2015"/>
    <x v="2"/>
    <n v="1"/>
    <m/>
    <n v="675000"/>
  </r>
  <r>
    <x v="77"/>
    <n v="341381"/>
    <x v="1"/>
    <s v="  "/>
    <n v="586"/>
    <s v="אשקלון, הרצוג"/>
    <x v="1"/>
    <d v="2016-04-06T00:00:00"/>
    <x v="1"/>
    <n v="4"/>
    <s v="ים/233/2015"/>
    <x v="2"/>
    <n v="1"/>
    <m/>
    <n v="678754"/>
  </r>
  <r>
    <x v="78"/>
    <n v="341093"/>
    <x v="1"/>
    <s v="  "/>
    <n v="537"/>
    <s v="אשקלון, הרצוג"/>
    <x v="1"/>
    <d v="2016-04-06T00:00:00"/>
    <x v="1"/>
    <n v="4"/>
    <s v="ים/233/2015"/>
    <x v="2"/>
    <n v="1"/>
    <m/>
    <n v="689000"/>
  </r>
  <r>
    <x v="79"/>
    <n v="340516"/>
    <x v="1"/>
    <s v="  "/>
    <n v="466"/>
    <s v="אשקלון, הרצוג"/>
    <x v="1"/>
    <d v="2016-04-06T00:00:00"/>
    <x v="1"/>
    <n v="4"/>
    <s v="ים/233/2015"/>
    <x v="2"/>
    <n v="1"/>
    <m/>
    <n v="689649"/>
  </r>
  <r>
    <x v="80"/>
    <n v="365887"/>
    <x v="1"/>
    <s v="  "/>
    <n v="483"/>
    <s v="אשקלון, הרצוג"/>
    <x v="1"/>
    <d v="2016-04-06T00:00:00"/>
    <x v="1"/>
    <n v="4"/>
    <s v="ים/233/2015"/>
    <x v="2"/>
    <n v="1"/>
    <m/>
    <n v="693626"/>
  </r>
  <r>
    <x v="81"/>
    <n v="337633"/>
    <x v="1"/>
    <s v="  "/>
    <n v="517"/>
    <s v="אשקלון, הרצוג"/>
    <x v="1"/>
    <d v="2016-04-06T00:00:00"/>
    <x v="1"/>
    <n v="4"/>
    <s v="ים/233/2015"/>
    <x v="2"/>
    <n v="1"/>
    <m/>
    <n v="695100"/>
  </r>
  <r>
    <x v="82"/>
    <n v="337633"/>
    <x v="1"/>
    <s v="  "/>
    <n v="527"/>
    <s v="אשקלון, הרצוג"/>
    <x v="1"/>
    <d v="2016-04-06T00:00:00"/>
    <x v="1"/>
    <n v="4"/>
    <s v="ים/233/2015"/>
    <x v="2"/>
    <n v="1"/>
    <m/>
    <n v="698180"/>
  </r>
  <r>
    <x v="83"/>
    <n v="178727"/>
    <x v="1"/>
    <s v="  "/>
    <n v="108"/>
    <s v="אשקלון, הרצוג"/>
    <x v="1"/>
    <d v="2015-02-15T00:00:00"/>
    <x v="3"/>
    <n v="2"/>
    <s v="ים/320/2014"/>
    <x v="2"/>
    <n v="1"/>
    <m/>
    <n v="700000"/>
  </r>
  <r>
    <x v="83"/>
    <n v="15896804"/>
    <x v="0"/>
    <s v="  "/>
    <n v="22519"/>
    <s v="אשקלון, אגמים"/>
    <x v="1"/>
    <d v="2014-11-10T00:00:00"/>
    <x v="2"/>
    <n v="11"/>
    <s v="ים/200/2014"/>
    <x v="2"/>
    <n v="120"/>
    <m/>
    <n v="700000"/>
  </r>
  <r>
    <x v="84"/>
    <n v="340516"/>
    <x v="1"/>
    <s v="  "/>
    <n v="584"/>
    <s v="אשקלון, הרצוג"/>
    <x v="1"/>
    <d v="2016-04-06T00:00:00"/>
    <x v="1"/>
    <n v="4"/>
    <s v="ים/233/2015"/>
    <x v="2"/>
    <n v="1"/>
    <m/>
    <n v="700830"/>
  </r>
  <r>
    <x v="84"/>
    <n v="340516"/>
    <x v="1"/>
    <s v="  "/>
    <n v="585"/>
    <s v="אשקלון, הרצוג"/>
    <x v="1"/>
    <d v="2016-04-06T00:00:00"/>
    <x v="1"/>
    <n v="4"/>
    <s v="ים/233/2015"/>
    <x v="2"/>
    <n v="1"/>
    <m/>
    <n v="700830"/>
  </r>
  <r>
    <x v="85"/>
    <n v="333308"/>
    <x v="1"/>
    <s v="  "/>
    <n v="575"/>
    <s v="אשקלון, הרצוג"/>
    <x v="1"/>
    <d v="2016-04-06T00:00:00"/>
    <x v="1"/>
    <n v="4"/>
    <s v="ים/233/2015"/>
    <x v="2"/>
    <n v="1"/>
    <m/>
    <n v="701000"/>
  </r>
  <r>
    <x v="86"/>
    <n v="341381"/>
    <x v="1"/>
    <s v="  "/>
    <n v="531"/>
    <s v="אשקלון, הרצוג"/>
    <x v="1"/>
    <d v="2016-04-06T00:00:00"/>
    <x v="1"/>
    <n v="4"/>
    <s v="ים/233/2015"/>
    <x v="2"/>
    <n v="1"/>
    <m/>
    <n v="705000"/>
  </r>
  <r>
    <x v="87"/>
    <n v="337633"/>
    <x v="1"/>
    <s v="  "/>
    <n v="505"/>
    <s v="אשקלון, הרצוג"/>
    <x v="1"/>
    <d v="2016-04-06T00:00:00"/>
    <x v="1"/>
    <n v="4"/>
    <s v="ים/233/2015"/>
    <x v="2"/>
    <n v="1"/>
    <m/>
    <n v="711389"/>
  </r>
  <r>
    <x v="88"/>
    <n v="333308"/>
    <x v="1"/>
    <s v="  "/>
    <n v="576"/>
    <s v="אשקלון, הרצוג"/>
    <x v="1"/>
    <d v="2016-04-06T00:00:00"/>
    <x v="1"/>
    <n v="4"/>
    <s v="ים/233/2015"/>
    <x v="2"/>
    <n v="1"/>
    <m/>
    <n v="712000"/>
  </r>
  <r>
    <x v="89"/>
    <n v="222132"/>
    <x v="1"/>
    <s v="  "/>
    <n v="429"/>
    <s v="אשקלון, הרצוג"/>
    <x v="1"/>
    <d v="2015-02-15T00:00:00"/>
    <x v="3"/>
    <n v="2"/>
    <s v="ים/320/2014"/>
    <x v="2"/>
    <n v="1"/>
    <m/>
    <n v="712650"/>
  </r>
  <r>
    <x v="90"/>
    <n v="338498"/>
    <x v="1"/>
    <s v="  "/>
    <n v="590"/>
    <s v="אשקלון, הרצוג"/>
    <x v="1"/>
    <d v="2016-04-06T00:00:00"/>
    <x v="1"/>
    <n v="4"/>
    <s v="ים/233/2015"/>
    <x v="2"/>
    <n v="1"/>
    <m/>
    <n v="718678"/>
  </r>
  <r>
    <x v="91"/>
    <n v="331666"/>
    <x v="1"/>
    <s v="  "/>
    <n v="479"/>
    <s v="אשקלון, הרצוג"/>
    <x v="1"/>
    <d v="2016-04-06T00:00:00"/>
    <x v="1"/>
    <n v="4"/>
    <s v="ים/233/2015"/>
    <x v="2"/>
    <n v="1"/>
    <m/>
    <n v="720000"/>
  </r>
  <r>
    <x v="91"/>
    <n v="354355"/>
    <x v="1"/>
    <s v="  "/>
    <n v="534"/>
    <s v="אשקלון, הרצוג"/>
    <x v="1"/>
    <d v="2016-04-06T00:00:00"/>
    <x v="1"/>
    <n v="4"/>
    <s v="ים/233/2015"/>
    <x v="2"/>
    <n v="1"/>
    <m/>
    <n v="720000"/>
  </r>
  <r>
    <x v="92"/>
    <n v="338786"/>
    <x v="1"/>
    <s v="  "/>
    <n v="592"/>
    <s v="אשקלון, הרצוג"/>
    <x v="1"/>
    <d v="2016-04-06T00:00:00"/>
    <x v="1"/>
    <n v="4"/>
    <s v="ים/233/2015"/>
    <x v="2"/>
    <n v="1"/>
    <m/>
    <n v="720720"/>
  </r>
  <r>
    <x v="93"/>
    <n v="340516"/>
    <x v="1"/>
    <s v="  "/>
    <n v="538"/>
    <s v="אשקלון, הרצוג"/>
    <x v="1"/>
    <d v="2016-04-06T00:00:00"/>
    <x v="1"/>
    <n v="4"/>
    <s v="ים/233/2015"/>
    <x v="2"/>
    <n v="1"/>
    <m/>
    <n v="725000"/>
  </r>
  <r>
    <x v="93"/>
    <n v="340516"/>
    <x v="1"/>
    <s v="  "/>
    <n v="583"/>
    <s v="אשקלון, הרצוג"/>
    <x v="1"/>
    <d v="2016-04-06T00:00:00"/>
    <x v="1"/>
    <n v="4"/>
    <s v="ים/233/2015"/>
    <x v="2"/>
    <n v="1"/>
    <m/>
    <n v="725000"/>
  </r>
  <r>
    <x v="94"/>
    <n v="187676"/>
    <x v="1"/>
    <s v="  "/>
    <n v="152"/>
    <s v="אשקלון, הרצוג"/>
    <x v="1"/>
    <d v="2015-02-15T00:00:00"/>
    <x v="3"/>
    <n v="2"/>
    <s v="ים/320/2014"/>
    <x v="2"/>
    <n v="1"/>
    <m/>
    <n v="730000"/>
  </r>
  <r>
    <x v="94"/>
    <n v="338210"/>
    <x v="1"/>
    <s v="  "/>
    <n v="476"/>
    <s v="אשקלון, הרצוג"/>
    <x v="1"/>
    <d v="2016-04-06T00:00:00"/>
    <x v="1"/>
    <n v="4"/>
    <s v="ים/233/2015"/>
    <x v="2"/>
    <n v="1"/>
    <m/>
    <n v="730000"/>
  </r>
  <r>
    <x v="95"/>
    <n v="340516"/>
    <x v="1"/>
    <s v="  "/>
    <n v="463"/>
    <s v="אשקלון, הרצוג"/>
    <x v="1"/>
    <d v="2016-04-06T00:00:00"/>
    <x v="1"/>
    <n v="4"/>
    <s v="ים/233/2015"/>
    <x v="2"/>
    <n v="1"/>
    <m/>
    <n v="732577"/>
  </r>
  <r>
    <x v="96"/>
    <n v="337633"/>
    <x v="1"/>
    <s v="  "/>
    <n v="516"/>
    <s v="אשקלון, הרצוג"/>
    <x v="1"/>
    <d v="2016-04-06T00:00:00"/>
    <x v="1"/>
    <n v="4"/>
    <s v="ים/233/2015"/>
    <x v="2"/>
    <n v="1"/>
    <m/>
    <n v="741000"/>
  </r>
  <r>
    <x v="97"/>
    <n v="337921"/>
    <x v="1"/>
    <s v="  "/>
    <n v="578"/>
    <s v="אשקלון, הרצוג"/>
    <x v="1"/>
    <d v="2016-04-06T00:00:00"/>
    <x v="1"/>
    <n v="4"/>
    <s v="ים/233/2015"/>
    <x v="2"/>
    <n v="1"/>
    <m/>
    <n v="741200"/>
  </r>
  <r>
    <x v="98"/>
    <n v="338210"/>
    <x v="1"/>
    <s v="  "/>
    <n v="550"/>
    <s v="אשקלון, הרצוג"/>
    <x v="1"/>
    <d v="2016-04-06T00:00:00"/>
    <x v="1"/>
    <n v="4"/>
    <s v="ים/233/2015"/>
    <x v="2"/>
    <n v="1"/>
    <m/>
    <n v="741930"/>
  </r>
  <r>
    <x v="99"/>
    <n v="340804"/>
    <x v="1"/>
    <s v="  "/>
    <n v="548"/>
    <s v="אשקלון, הרצוג"/>
    <x v="1"/>
    <d v="2016-04-06T00:00:00"/>
    <x v="1"/>
    <n v="4"/>
    <s v="ים/233/2015"/>
    <x v="2"/>
    <n v="1"/>
    <m/>
    <n v="742190"/>
  </r>
  <r>
    <x v="100"/>
    <n v="339939"/>
    <x v="1"/>
    <s v="  "/>
    <n v="541"/>
    <s v="אשקלון, הרצוג"/>
    <x v="1"/>
    <d v="2016-04-06T00:00:00"/>
    <x v="1"/>
    <n v="4"/>
    <s v="ים/233/2015"/>
    <x v="2"/>
    <n v="1"/>
    <m/>
    <n v="743100"/>
  </r>
  <r>
    <x v="101"/>
    <n v="339074"/>
    <x v="1"/>
    <s v="  "/>
    <n v="594"/>
    <s v="אשקלון, הרצוג"/>
    <x v="1"/>
    <d v="2016-04-06T00:00:00"/>
    <x v="1"/>
    <n v="4"/>
    <s v="ים/233/2015"/>
    <x v="2"/>
    <n v="1"/>
    <m/>
    <n v="745000"/>
  </r>
  <r>
    <x v="102"/>
    <n v="332732"/>
    <x v="1"/>
    <s v="  "/>
    <n v="498"/>
    <s v="אשקלון, הרצוג"/>
    <x v="1"/>
    <d v="2016-04-06T00:00:00"/>
    <x v="1"/>
    <n v="4"/>
    <s v="ים/233/2015"/>
    <x v="2"/>
    <n v="1"/>
    <m/>
    <n v="745555"/>
  </r>
  <r>
    <x v="103"/>
    <n v="338498"/>
    <x v="1"/>
    <s v="  "/>
    <n v="589"/>
    <s v="אשקלון, הרצוג"/>
    <x v="1"/>
    <d v="2016-04-06T00:00:00"/>
    <x v="1"/>
    <n v="4"/>
    <s v="ים/233/2015"/>
    <x v="2"/>
    <n v="1"/>
    <m/>
    <n v="750000"/>
  </r>
  <r>
    <x v="103"/>
    <n v="341669"/>
    <x v="1"/>
    <s v="  "/>
    <n v="535"/>
    <s v="אשקלון, הרצוג"/>
    <x v="1"/>
    <d v="2016-04-06T00:00:00"/>
    <x v="1"/>
    <n v="4"/>
    <s v="ים/233/2015"/>
    <x v="2"/>
    <n v="1"/>
    <m/>
    <n v="750000"/>
  </r>
  <r>
    <x v="104"/>
    <n v="340228"/>
    <x v="1"/>
    <s v="  "/>
    <n v="543"/>
    <s v="אשקלון, הרצוג"/>
    <x v="1"/>
    <d v="2016-04-06T00:00:00"/>
    <x v="1"/>
    <n v="4"/>
    <s v="ים/233/2015"/>
    <x v="2"/>
    <n v="1"/>
    <m/>
    <n v="750100"/>
  </r>
  <r>
    <x v="105"/>
    <n v="337633"/>
    <x v="1"/>
    <s v="  "/>
    <n v="582"/>
    <s v="אשקלון, הרצוג"/>
    <x v="1"/>
    <d v="2016-04-06T00:00:00"/>
    <x v="1"/>
    <n v="4"/>
    <s v="ים/233/2015"/>
    <x v="2"/>
    <n v="1"/>
    <m/>
    <n v="760000"/>
  </r>
  <r>
    <x v="106"/>
    <n v="222132"/>
    <x v="1"/>
    <s v="  "/>
    <n v="436"/>
    <s v="אשקלון, הרצוג"/>
    <x v="1"/>
    <d v="2015-02-15T00:00:00"/>
    <x v="3"/>
    <n v="2"/>
    <s v="ים/320/2014"/>
    <x v="2"/>
    <n v="1"/>
    <m/>
    <n v="761000"/>
  </r>
  <r>
    <x v="107"/>
    <n v="335327"/>
    <x v="1"/>
    <s v="  "/>
    <n v="593"/>
    <s v="אשקלון, הרצוג"/>
    <x v="1"/>
    <d v="2016-04-06T00:00:00"/>
    <x v="1"/>
    <n v="4"/>
    <s v="ים/233/2015"/>
    <x v="2"/>
    <n v="1"/>
    <m/>
    <n v="769271"/>
  </r>
  <r>
    <x v="108"/>
    <n v="333308"/>
    <x v="1"/>
    <s v="  "/>
    <n v="577"/>
    <s v="אשקלון, הרצוג"/>
    <x v="1"/>
    <d v="2016-04-06T00:00:00"/>
    <x v="1"/>
    <n v="4"/>
    <s v="ים/233/2015"/>
    <x v="2"/>
    <n v="1"/>
    <m/>
    <n v="777000"/>
  </r>
  <r>
    <x v="109"/>
    <n v="337921"/>
    <x v="1"/>
    <s v="  "/>
    <n v="579"/>
    <s v="אשקלון, הרצוג"/>
    <x v="1"/>
    <d v="2016-04-06T00:00:00"/>
    <x v="1"/>
    <n v="4"/>
    <s v="ים/233/2015"/>
    <x v="2"/>
    <n v="1"/>
    <m/>
    <n v="781000"/>
  </r>
  <r>
    <x v="110"/>
    <n v="345994"/>
    <x v="1"/>
    <s v="  "/>
    <n v="580"/>
    <s v="אשקלון, הרצוג"/>
    <x v="1"/>
    <d v="2016-04-06T00:00:00"/>
    <x v="1"/>
    <n v="4"/>
    <s v="ים/233/2015"/>
    <x v="2"/>
    <n v="1"/>
    <m/>
    <n v="783000"/>
  </r>
  <r>
    <x v="111"/>
    <n v="340228"/>
    <x v="1"/>
    <s v="  "/>
    <n v="540"/>
    <s v="אשקלון, הרצוג"/>
    <x v="1"/>
    <d v="2016-04-06T00:00:00"/>
    <x v="1"/>
    <n v="4"/>
    <s v="ים/233/2015"/>
    <x v="2"/>
    <n v="1"/>
    <m/>
    <n v="792100"/>
  </r>
  <r>
    <x v="112"/>
    <n v="352048"/>
    <x v="1"/>
    <s v="  "/>
    <n v="518"/>
    <s v="אשקלון, הרצוג"/>
    <x v="1"/>
    <d v="2016-04-06T00:00:00"/>
    <x v="1"/>
    <n v="4"/>
    <s v="ים/233/2015"/>
    <x v="2"/>
    <n v="1"/>
    <m/>
    <n v="805555"/>
  </r>
  <r>
    <x v="113"/>
    <n v="349165"/>
    <x v="1"/>
    <s v="  "/>
    <n v="549"/>
    <s v="אשקלון, הרצוג"/>
    <x v="1"/>
    <d v="2016-04-06T00:00:00"/>
    <x v="1"/>
    <n v="4"/>
    <s v="ים/233/2015"/>
    <x v="2"/>
    <n v="1"/>
    <m/>
    <n v="821679"/>
  </r>
  <r>
    <x v="114"/>
    <n v="340228"/>
    <x v="1"/>
    <s v="  "/>
    <n v="461"/>
    <s v="אשקלון, הרצוג"/>
    <x v="1"/>
    <d v="2016-04-06T00:00:00"/>
    <x v="1"/>
    <n v="4"/>
    <s v="ים/233/2015"/>
    <x v="2"/>
    <n v="1"/>
    <m/>
    <n v="825555"/>
  </r>
  <r>
    <x v="115"/>
    <n v="340228"/>
    <x v="1"/>
    <s v="  "/>
    <n v="462"/>
    <s v="אשקלון, הרצוג"/>
    <x v="1"/>
    <d v="2016-04-06T00:00:00"/>
    <x v="1"/>
    <n v="4"/>
    <s v="ים/233/2015"/>
    <x v="2"/>
    <n v="1"/>
    <m/>
    <n v="826990"/>
  </r>
  <r>
    <x v="116"/>
    <n v="333308"/>
    <x v="1"/>
    <s v="  "/>
    <n v="574"/>
    <s v="אשקלון, הרצוג"/>
    <x v="1"/>
    <d v="2016-04-06T00:00:00"/>
    <x v="1"/>
    <n v="4"/>
    <s v="ים/233/2015"/>
    <x v="2"/>
    <n v="1"/>
    <m/>
    <n v="830000"/>
  </r>
  <r>
    <x v="117"/>
    <n v="352913"/>
    <x v="1"/>
    <s v="  "/>
    <n v="581"/>
    <s v="אשקלון, הרצוג"/>
    <x v="1"/>
    <d v="2016-04-06T00:00:00"/>
    <x v="1"/>
    <n v="4"/>
    <s v="ים/233/2015"/>
    <x v="2"/>
    <n v="1"/>
    <m/>
    <n v="861000"/>
  </r>
  <r>
    <x v="118"/>
    <n v="13983700"/>
    <x v="0"/>
    <s v="  "/>
    <n v="22515"/>
    <s v="אשקלון, אגמים"/>
    <x v="1"/>
    <d v="2015-03-01T00:00:00"/>
    <x v="3"/>
    <n v="3"/>
    <s v="ים/341/2014"/>
    <x v="2"/>
    <n v="92"/>
    <m/>
    <n v="888888"/>
  </r>
  <r>
    <x v="119"/>
    <n v="357526"/>
    <x v="1"/>
    <s v="  "/>
    <n v="533"/>
    <s v="אשקלון, הרצוג"/>
    <x v="1"/>
    <d v="2016-04-06T00:00:00"/>
    <x v="1"/>
    <n v="4"/>
    <s v="ים/233/2015"/>
    <x v="2"/>
    <n v="1"/>
    <m/>
    <n v="934180"/>
  </r>
  <r>
    <x v="120"/>
    <n v="12902151"/>
    <x v="0"/>
    <s v="  "/>
    <n v="22530"/>
    <s v="אשקלון"/>
    <x v="1"/>
    <d v="2015-07-19T00:00:00"/>
    <x v="3"/>
    <n v="7"/>
    <s v="ים/49/2015"/>
    <x v="2"/>
    <n v="78"/>
    <m/>
    <n v="936018"/>
  </r>
  <r>
    <x v="121"/>
    <n v="13801199"/>
    <x v="0"/>
    <s v="  "/>
    <n v="22531"/>
    <s v="אשקלון"/>
    <x v="1"/>
    <d v="2015-07-19T00:00:00"/>
    <x v="3"/>
    <n v="7"/>
    <s v="ים/49/2015"/>
    <x v="2"/>
    <n v="86"/>
    <m/>
    <n v="946260"/>
  </r>
  <r>
    <x v="122"/>
    <n v="338829"/>
    <x v="1"/>
    <s v="  "/>
    <n v="527"/>
    <s v="אשקלון, הרצוג"/>
    <x v="1"/>
    <d v="2017-02-28T00:00:00"/>
    <x v="0"/>
    <n v="2"/>
    <s v="ים/273/2016"/>
    <x v="2"/>
    <n v="1"/>
    <m/>
    <n v="977000"/>
  </r>
  <r>
    <x v="123"/>
    <n v="361851"/>
    <x v="1"/>
    <s v="  "/>
    <n v="519"/>
    <s v="אשקלון, הרצוג"/>
    <x v="1"/>
    <d v="2016-04-06T00:00:00"/>
    <x v="1"/>
    <n v="4"/>
    <s v="ים/233/2015"/>
    <x v="2"/>
    <n v="1"/>
    <m/>
    <n v="1000000"/>
  </r>
  <r>
    <x v="124"/>
    <n v="10220687"/>
    <x v="0"/>
    <s v="  "/>
    <n v="22525"/>
    <s v="אשקלון, אגמים"/>
    <x v="1"/>
    <d v="2014-11-10T00:00:00"/>
    <x v="2"/>
    <n v="11"/>
    <s v="ים/200/2014"/>
    <x v="2"/>
    <n v="69"/>
    <m/>
    <n v="1018018"/>
  </r>
  <r>
    <x v="125"/>
    <n v="343226"/>
    <x v="1"/>
    <s v="  "/>
    <n v="574"/>
    <s v="אשקלון, הרצוג"/>
    <x v="1"/>
    <d v="2017-02-28T00:00:00"/>
    <x v="0"/>
    <n v="2"/>
    <s v="ים/273/2016"/>
    <x v="2"/>
    <n v="1"/>
    <m/>
    <n v="1093000"/>
  </r>
  <r>
    <x v="126"/>
    <n v="6046568"/>
    <x v="0"/>
    <s v="  "/>
    <n v="22512"/>
    <s v="אשקלון, אגמים"/>
    <x v="1"/>
    <d v="2014-05-18T00:00:00"/>
    <x v="2"/>
    <n v="5"/>
    <s v="ים/305/2013"/>
    <x v="2"/>
    <n v="62"/>
    <m/>
    <n v="1101999"/>
  </r>
  <r>
    <x v="127"/>
    <n v="23418495"/>
    <x v="0"/>
    <s v="  "/>
    <n v="22535"/>
    <s v="אשקלון, אגמים"/>
    <x v="1"/>
    <d v="2015-03-01T00:00:00"/>
    <x v="3"/>
    <n v="3"/>
    <s v="ים/341/2014"/>
    <x v="2"/>
    <n v="150"/>
    <m/>
    <n v="1126000"/>
  </r>
  <r>
    <x v="128"/>
    <n v="13348625"/>
    <x v="0"/>
    <s v="  "/>
    <n v="22526"/>
    <s v="אשקלון"/>
    <x v="1"/>
    <d v="2015-07-19T00:00:00"/>
    <x v="3"/>
    <n v="7"/>
    <s v="ים/49/2015"/>
    <x v="2"/>
    <n v="87"/>
    <m/>
    <n v="1348500"/>
  </r>
  <r>
    <x v="129"/>
    <n v="10441820"/>
    <x v="0"/>
    <s v="  "/>
    <n v="22537"/>
    <s v="אשקלון, אגמים"/>
    <x v="1"/>
    <d v="2015-03-01T00:00:00"/>
    <x v="3"/>
    <n v="3"/>
    <s v="ים/341/2014"/>
    <x v="2"/>
    <n v="78"/>
    <m/>
    <n v="1518018"/>
  </r>
  <r>
    <x v="130"/>
    <n v="10731302"/>
    <x v="0"/>
    <s v="  "/>
    <n v="22516"/>
    <s v="אשקלון, אגמים"/>
    <x v="1"/>
    <d v="2015-03-01T00:00:00"/>
    <x v="3"/>
    <n v="3"/>
    <s v="ים/341/2014"/>
    <x v="2"/>
    <n v="72"/>
    <m/>
    <n v="1624464"/>
  </r>
  <r>
    <x v="131"/>
    <n v="9175746"/>
    <x v="0"/>
    <s v="  "/>
    <n v="22518"/>
    <s v="אשקלון, אגמים"/>
    <x v="1"/>
    <d v="2014-05-18T00:00:00"/>
    <x v="2"/>
    <n v="5"/>
    <s v="ים/305/2013"/>
    <x v="2"/>
    <n v="104"/>
    <m/>
    <n v="1661000"/>
  </r>
  <r>
    <x v="132"/>
    <n v="16171023"/>
    <x v="0"/>
    <s v="  "/>
    <n v="22533"/>
    <s v="אשקלון"/>
    <x v="1"/>
    <d v="2015-07-19T00:00:00"/>
    <x v="3"/>
    <n v="7"/>
    <s v="ים/49/2015"/>
    <x v="2"/>
    <n v="112"/>
    <m/>
    <n v="1800000"/>
  </r>
  <r>
    <x v="133"/>
    <n v="10118206"/>
    <x v="0"/>
    <s v="  "/>
    <n v="22522"/>
    <s v="אשקלון"/>
    <x v="1"/>
    <d v="2015-07-19T00:00:00"/>
    <x v="3"/>
    <n v="7"/>
    <s v="ים/49/2015"/>
    <x v="2"/>
    <n v="80"/>
    <m/>
    <n v="2100000"/>
  </r>
  <r>
    <x v="134"/>
    <n v="15069458"/>
    <x v="0"/>
    <s v="  "/>
    <n v="24076"/>
    <s v="אשקלון"/>
    <x v="1"/>
    <d v="2015-07-19T00:00:00"/>
    <x v="3"/>
    <n v="7"/>
    <s v="ים/49/2015"/>
    <x v="2"/>
    <n v="104"/>
    <m/>
    <n v="2126000"/>
  </r>
  <r>
    <x v="135"/>
    <n v="10309964"/>
    <x v="0"/>
    <s v="  "/>
    <n v="22532"/>
    <s v="אשקלון"/>
    <x v="1"/>
    <d v="2015-07-19T00:00:00"/>
    <x v="3"/>
    <n v="7"/>
    <s v="ים/49/2015"/>
    <x v="2"/>
    <n v="68"/>
    <m/>
    <n v="2300777"/>
  </r>
  <r>
    <x v="136"/>
    <n v="9896770"/>
    <x v="0"/>
    <s v="  "/>
    <n v="22513"/>
    <s v="אשקלון, אגמים"/>
    <x v="1"/>
    <d v="2014-05-18T00:00:00"/>
    <x v="2"/>
    <n v="5"/>
    <s v="ים/305/2013"/>
    <x v="2"/>
    <n v="92"/>
    <m/>
    <n v="2484018"/>
  </r>
  <r>
    <x v="137"/>
    <n v="12917492"/>
    <x v="0"/>
    <s v="  "/>
    <n v="22523"/>
    <s v="אשקלון"/>
    <x v="1"/>
    <d v="2015-07-19T00:00:00"/>
    <x v="3"/>
    <n v="7"/>
    <s v="ים/49/2015"/>
    <x v="2"/>
    <n v="82"/>
    <m/>
    <n v="3444000"/>
  </r>
  <r>
    <x v="138"/>
    <n v="6169229"/>
    <x v="0"/>
    <s v="  "/>
    <n v="3"/>
    <s v="אשקלון, הבלוט"/>
    <x v="1"/>
    <d v="2016-06-15T00:00:00"/>
    <x v="1"/>
    <n v="6"/>
    <s v="ים/336/2015"/>
    <x v="1"/>
    <n v="26"/>
    <n v="8579"/>
    <n v="18287999"/>
  </r>
  <r>
    <x v="139"/>
    <n v="69986209"/>
    <x v="0"/>
    <s v="מחיר למשתכן"/>
    <n v="43024"/>
    <s v="באר שבע, מבואה מערבית"/>
    <x v="2"/>
    <d v="2016-09-05T00:00:00"/>
    <x v="1"/>
    <n v="9"/>
    <s v="בש/253/2015"/>
    <x v="1"/>
    <n v="360"/>
    <n v="25219"/>
    <n v="3438000"/>
  </r>
  <r>
    <x v="140"/>
    <n v="25511903"/>
    <x v="0"/>
    <s v="מחיר למשתכן"/>
    <n v="46102"/>
    <s v="באר שבע, מבואה מערבית"/>
    <x v="2"/>
    <d v="2016-12-12T00:00:00"/>
    <x v="1"/>
    <n v="12"/>
    <s v="בש/274/2016"/>
    <x v="1"/>
    <n v="112"/>
    <n v="9466"/>
    <n v="4471600"/>
  </r>
  <r>
    <x v="141"/>
    <n v="25449709"/>
    <x v="0"/>
    <s v="מחיר למשתכן"/>
    <n v="46103"/>
    <s v="באר שבע, מבואה מערבית"/>
    <x v="2"/>
    <d v="2016-12-12T00:00:00"/>
    <x v="1"/>
    <n v="12"/>
    <s v="בש/274/2016"/>
    <x v="1"/>
    <n v="112"/>
    <n v="9410"/>
    <n v="5227600"/>
  </r>
  <r>
    <x v="142"/>
    <n v="26910053"/>
    <x v="0"/>
    <s v="מחיר למשתכן"/>
    <n v="43021"/>
    <s v="באר שבע, מבואה מערבית"/>
    <x v="2"/>
    <d v="2016-12-12T00:00:00"/>
    <x v="1"/>
    <n v="12"/>
    <s v="בש/274/2016"/>
    <x v="1"/>
    <n v="115"/>
    <n v="10616"/>
    <n v="6230125"/>
  </r>
  <r>
    <x v="143"/>
    <n v="16593548"/>
    <x v="0"/>
    <s v="מחיר למשתכן"/>
    <n v="46104"/>
    <s v="באר שבע, מבואה מערבית"/>
    <x v="2"/>
    <d v="2016-12-12T00:00:00"/>
    <x v="1"/>
    <n v="12"/>
    <s v="בש/274/2016"/>
    <x v="1"/>
    <n v="74"/>
    <n v="6121"/>
    <n v="4375250"/>
  </r>
  <r>
    <x v="144"/>
    <n v="468492"/>
    <x v="1"/>
    <s v="  "/>
    <n v="1391"/>
    <s v="באר שבע, כלניות"/>
    <x v="2"/>
    <d v="2016-06-27T00:00:00"/>
    <x v="1"/>
    <n v="6"/>
    <s v="בש/256/2015"/>
    <x v="1"/>
    <n v="1"/>
    <m/>
    <n v="1013200"/>
  </r>
  <r>
    <x v="145"/>
    <n v="556034"/>
    <x v="1"/>
    <s v="  "/>
    <n v="1015"/>
    <s v="באר שבע, כלניות"/>
    <x v="2"/>
    <d v="2016-06-27T00:00:00"/>
    <x v="1"/>
    <n v="6"/>
    <s v="בש/256/2015"/>
    <x v="1"/>
    <n v="1"/>
    <m/>
    <n v="1020400"/>
  </r>
  <r>
    <x v="145"/>
    <n v="556034"/>
    <x v="1"/>
    <s v="  "/>
    <n v="1016"/>
    <s v="באר שבע, כלניות"/>
    <x v="2"/>
    <d v="2016-06-27T00:00:00"/>
    <x v="1"/>
    <n v="6"/>
    <s v="בש/256/2015"/>
    <x v="1"/>
    <n v="1"/>
    <m/>
    <n v="1020400"/>
  </r>
  <r>
    <x v="146"/>
    <n v="468492"/>
    <x v="1"/>
    <s v="  "/>
    <n v="1136"/>
    <s v="באר שבע, כלניות"/>
    <x v="2"/>
    <d v="2016-06-27T00:00:00"/>
    <x v="1"/>
    <n v="6"/>
    <s v="בש/256/2015"/>
    <x v="1"/>
    <n v="1"/>
    <m/>
    <n v="1103125"/>
  </r>
  <r>
    <x v="147"/>
    <n v="514458"/>
    <x v="1"/>
    <s v="  "/>
    <n v="1272"/>
    <s v="באר שבע, כלניות"/>
    <x v="2"/>
    <d v="2016-06-27T00:00:00"/>
    <x v="1"/>
    <n v="6"/>
    <s v="בש/256/2015"/>
    <x v="1"/>
    <n v="1"/>
    <m/>
    <n v="1114600"/>
  </r>
  <r>
    <x v="148"/>
    <n v="455962"/>
    <x v="1"/>
    <s v="  "/>
    <n v="1193"/>
    <s v="באר שבע, כלניות"/>
    <x v="2"/>
    <d v="2016-06-27T00:00:00"/>
    <x v="1"/>
    <n v="6"/>
    <s v="בש/256/2015"/>
    <x v="1"/>
    <n v="1"/>
    <m/>
    <n v="1172500"/>
  </r>
  <r>
    <x v="149"/>
    <n v="483300"/>
    <x v="1"/>
    <s v="  "/>
    <n v="1278"/>
    <s v="באר שבע, כלניות"/>
    <x v="2"/>
    <d v="2016-06-27T00:00:00"/>
    <x v="1"/>
    <n v="6"/>
    <s v="בש/256/2015"/>
    <x v="1"/>
    <n v="1"/>
    <m/>
    <n v="1186900"/>
  </r>
  <r>
    <x v="150"/>
    <n v="514458"/>
    <x v="1"/>
    <s v="  "/>
    <n v="1441"/>
    <s v="באר שבע, כלניות"/>
    <x v="2"/>
    <d v="2016-06-27T00:00:00"/>
    <x v="1"/>
    <n v="6"/>
    <s v="בש/256/2015"/>
    <x v="1"/>
    <n v="1"/>
    <m/>
    <n v="1251025"/>
  </r>
  <r>
    <x v="151"/>
    <n v="514458"/>
    <x v="1"/>
    <s v="  "/>
    <n v="1556"/>
    <s v="באר שבע, כלניות"/>
    <x v="2"/>
    <d v="2016-06-27T00:00:00"/>
    <x v="1"/>
    <n v="6"/>
    <s v="בש/256/2015"/>
    <x v="1"/>
    <n v="1"/>
    <m/>
    <n v="1255000"/>
  </r>
  <r>
    <x v="152"/>
    <n v="514458"/>
    <x v="1"/>
    <s v="  "/>
    <n v="1447"/>
    <s v="באר שבע, כלניות"/>
    <x v="2"/>
    <d v="2016-06-27T00:00:00"/>
    <x v="1"/>
    <n v="6"/>
    <s v="בש/256/2015"/>
    <x v="1"/>
    <n v="1"/>
    <m/>
    <n v="1283275"/>
  </r>
  <r>
    <x v="153"/>
    <n v="553755"/>
    <x v="1"/>
    <s v="  "/>
    <n v="1341"/>
    <s v="באר שבע, כלניות"/>
    <x v="2"/>
    <d v="2016-06-27T00:00:00"/>
    <x v="1"/>
    <n v="6"/>
    <s v="בש/256/2015"/>
    <x v="1"/>
    <n v="1"/>
    <m/>
    <n v="1375000"/>
  </r>
  <r>
    <x v="154"/>
    <n v="455962"/>
    <x v="1"/>
    <s v="  "/>
    <n v="1192"/>
    <s v="באר שבע, כלניות"/>
    <x v="2"/>
    <d v="2016-06-27T00:00:00"/>
    <x v="1"/>
    <n v="6"/>
    <s v="בש/256/2015"/>
    <x v="1"/>
    <n v="1"/>
    <m/>
    <n v="1416625"/>
  </r>
  <r>
    <x v="155"/>
    <n v="567994"/>
    <x v="1"/>
    <s v="  "/>
    <n v="344"/>
    <s v="באר שבע, כלניות"/>
    <x v="2"/>
    <d v="2016-06-27T00:00:00"/>
    <x v="1"/>
    <n v="6"/>
    <s v="בש/256/2015"/>
    <x v="1"/>
    <n v="1"/>
    <m/>
    <n v="1417375"/>
  </r>
  <r>
    <x v="156"/>
    <n v="568866"/>
    <x v="1"/>
    <s v="  "/>
    <n v="1310"/>
    <s v="באר שבע, כלניות"/>
    <x v="2"/>
    <d v="2016-06-27T00:00:00"/>
    <x v="1"/>
    <n v="6"/>
    <s v="בש/256/2015"/>
    <x v="1"/>
    <n v="1"/>
    <m/>
    <n v="1463575"/>
  </r>
  <r>
    <x v="157"/>
    <n v="519015"/>
    <x v="1"/>
    <s v="  "/>
    <n v="1411"/>
    <s v="באר שבע, כלניות"/>
    <x v="2"/>
    <d v="2016-06-27T00:00:00"/>
    <x v="1"/>
    <n v="6"/>
    <s v="בש/256/2015"/>
    <x v="1"/>
    <n v="1"/>
    <m/>
    <n v="1532500"/>
  </r>
  <r>
    <x v="158"/>
    <n v="514458"/>
    <x v="1"/>
    <s v="  "/>
    <n v="1261"/>
    <s v="באר שבע, כלניות"/>
    <x v="2"/>
    <d v="2016-06-27T00:00:00"/>
    <x v="1"/>
    <n v="6"/>
    <s v="בש/256/2015"/>
    <x v="1"/>
    <n v="1"/>
    <m/>
    <n v="1540000"/>
  </r>
  <r>
    <x v="159"/>
    <n v="528128"/>
    <x v="1"/>
    <s v="  "/>
    <n v="1338"/>
    <s v="באר שבע, כלניות"/>
    <x v="2"/>
    <d v="2016-06-27T00:00:00"/>
    <x v="1"/>
    <n v="6"/>
    <s v="בש/256/2015"/>
    <x v="1"/>
    <n v="1"/>
    <m/>
    <n v="1583125"/>
  </r>
  <r>
    <x v="160"/>
    <n v="532683"/>
    <x v="1"/>
    <s v="  "/>
    <n v="1512"/>
    <s v="באר שבע, כלניות"/>
    <x v="2"/>
    <d v="2016-06-27T00:00:00"/>
    <x v="1"/>
    <n v="6"/>
    <s v="בש/256/2015"/>
    <x v="1"/>
    <n v="1"/>
    <m/>
    <n v="1607500"/>
  </r>
  <r>
    <x v="161"/>
    <n v="530975"/>
    <x v="1"/>
    <s v="  "/>
    <n v="1123"/>
    <s v="באר שבע, כלניות"/>
    <x v="2"/>
    <d v="2016-06-27T00:00:00"/>
    <x v="1"/>
    <n v="6"/>
    <s v="בש/256/2015"/>
    <x v="1"/>
    <n v="1"/>
    <m/>
    <n v="1639300"/>
  </r>
  <r>
    <x v="162"/>
    <n v="468492"/>
    <x v="1"/>
    <s v="  "/>
    <n v="1406"/>
    <s v="באר שבע, כלניות"/>
    <x v="2"/>
    <d v="2016-06-27T00:00:00"/>
    <x v="1"/>
    <n v="6"/>
    <s v="בש/256/2015"/>
    <x v="1"/>
    <n v="1"/>
    <m/>
    <n v="1661200"/>
  </r>
  <r>
    <x v="163"/>
    <n v="514458"/>
    <x v="1"/>
    <s v="  "/>
    <n v="1240"/>
    <s v="באר שבע, כלניות"/>
    <x v="2"/>
    <d v="2016-06-27T00:00:00"/>
    <x v="1"/>
    <n v="6"/>
    <s v="בש/256/2015"/>
    <x v="1"/>
    <n v="1"/>
    <m/>
    <n v="1675000"/>
  </r>
  <r>
    <x v="163"/>
    <n v="557173"/>
    <x v="1"/>
    <s v="  "/>
    <n v="1316"/>
    <s v="באר שבע, כלניות"/>
    <x v="2"/>
    <d v="2016-06-27T00:00:00"/>
    <x v="1"/>
    <n v="6"/>
    <s v="בש/256/2015"/>
    <x v="1"/>
    <n v="1"/>
    <m/>
    <n v="1675000"/>
  </r>
  <r>
    <x v="164"/>
    <n v="468492"/>
    <x v="1"/>
    <s v="  "/>
    <n v="1146"/>
    <s v="באר שבע, כלניות"/>
    <x v="2"/>
    <d v="2016-06-27T00:00:00"/>
    <x v="1"/>
    <n v="6"/>
    <s v="בש/256/2015"/>
    <x v="1"/>
    <n v="1"/>
    <m/>
    <n v="30000"/>
  </r>
  <r>
    <x v="164"/>
    <n v="514458"/>
    <x v="1"/>
    <s v="  "/>
    <n v="1559"/>
    <s v="באר שבע, כלניות"/>
    <x v="2"/>
    <d v="2016-06-27T00:00:00"/>
    <x v="1"/>
    <n v="6"/>
    <s v="בש/256/2015"/>
    <x v="1"/>
    <n v="1"/>
    <m/>
    <n v="30000"/>
  </r>
  <r>
    <x v="164"/>
    <n v="599517"/>
    <x v="1"/>
    <s v="  "/>
    <n v="659"/>
    <s v="באר שבע, כלניות"/>
    <x v="2"/>
    <d v="2016-06-27T00:00:00"/>
    <x v="1"/>
    <n v="6"/>
    <s v="בש/256/2015"/>
    <x v="1"/>
    <n v="1"/>
    <m/>
    <n v="30000"/>
  </r>
  <r>
    <x v="165"/>
    <n v="514458"/>
    <x v="1"/>
    <s v="  "/>
    <n v="1526"/>
    <s v="באר שבע, כלניות"/>
    <x v="2"/>
    <d v="2016-06-27T00:00:00"/>
    <x v="1"/>
    <n v="6"/>
    <s v="בש/256/2015"/>
    <x v="1"/>
    <n v="1"/>
    <m/>
    <n v="30152"/>
  </r>
  <r>
    <x v="166"/>
    <n v="555464"/>
    <x v="1"/>
    <s v="  "/>
    <n v="1013"/>
    <s v="באר שבע, כלניות"/>
    <x v="2"/>
    <d v="2016-06-27T00:00:00"/>
    <x v="1"/>
    <n v="6"/>
    <s v="בש/256/2015"/>
    <x v="1"/>
    <n v="1"/>
    <m/>
    <n v="30600"/>
  </r>
  <r>
    <x v="167"/>
    <n v="514458"/>
    <x v="1"/>
    <s v="  "/>
    <n v="1444"/>
    <s v="באר שבע, כלניות"/>
    <x v="2"/>
    <d v="2016-06-27T00:00:00"/>
    <x v="1"/>
    <n v="6"/>
    <s v="בש/256/2015"/>
    <x v="1"/>
    <n v="1"/>
    <m/>
    <n v="31000"/>
  </r>
  <r>
    <x v="167"/>
    <n v="551781"/>
    <x v="1"/>
    <s v="  "/>
    <n v="1371"/>
    <s v="באר שבע, כלניות"/>
    <x v="2"/>
    <d v="2016-06-27T00:00:00"/>
    <x v="1"/>
    <n v="6"/>
    <s v="בש/256/2015"/>
    <x v="1"/>
    <n v="1"/>
    <m/>
    <n v="31000"/>
  </r>
  <r>
    <x v="168"/>
    <n v="514458"/>
    <x v="1"/>
    <s v="  "/>
    <n v="1511"/>
    <s v="באר שבע, כלניות"/>
    <x v="2"/>
    <d v="2016-06-27T00:00:00"/>
    <x v="1"/>
    <n v="6"/>
    <s v="בש/256/2015"/>
    <x v="1"/>
    <n v="1"/>
    <m/>
    <n v="31250"/>
  </r>
  <r>
    <x v="169"/>
    <n v="519317"/>
    <x v="1"/>
    <s v="  "/>
    <n v="1386"/>
    <s v="באר שבע, כלניות"/>
    <x v="2"/>
    <d v="2016-06-27T00:00:00"/>
    <x v="1"/>
    <n v="6"/>
    <s v="בש/256/2015"/>
    <x v="1"/>
    <n v="1"/>
    <m/>
    <n v="31360"/>
  </r>
  <r>
    <x v="170"/>
    <n v="468492"/>
    <x v="1"/>
    <s v="  "/>
    <n v="1401"/>
    <s v="באר שבע, כלניות"/>
    <x v="2"/>
    <d v="2016-06-27T00:00:00"/>
    <x v="1"/>
    <n v="6"/>
    <s v="בש/256/2015"/>
    <x v="1"/>
    <n v="1"/>
    <m/>
    <n v="31510"/>
  </r>
  <r>
    <x v="171"/>
    <n v="525279"/>
    <x v="1"/>
    <s v="  "/>
    <n v="1101"/>
    <s v="באר שבע, כלניות"/>
    <x v="2"/>
    <d v="2016-06-27T00:00:00"/>
    <x v="1"/>
    <n v="6"/>
    <s v="בש/256/2015"/>
    <x v="1"/>
    <n v="1"/>
    <m/>
    <n v="31900"/>
  </r>
  <r>
    <x v="172"/>
    <n v="545782"/>
    <x v="1"/>
    <s v="  "/>
    <n v="1464"/>
    <s v="באר שבע, כלניות"/>
    <x v="2"/>
    <d v="2016-06-27T00:00:00"/>
    <x v="1"/>
    <n v="6"/>
    <s v="בש/256/2015"/>
    <x v="1"/>
    <n v="1"/>
    <m/>
    <n v="32100"/>
  </r>
  <r>
    <x v="173"/>
    <n v="541796"/>
    <x v="1"/>
    <s v="  "/>
    <n v="1419"/>
    <s v="באר שבע, כלניות"/>
    <x v="2"/>
    <d v="2016-06-27T00:00:00"/>
    <x v="1"/>
    <n v="6"/>
    <s v="בש/256/2015"/>
    <x v="1"/>
    <n v="1"/>
    <m/>
    <n v="32190"/>
  </r>
  <r>
    <x v="174"/>
    <n v="488873"/>
    <x v="1"/>
    <s v="  "/>
    <n v="326"/>
    <s v="באר שבע, כלניות"/>
    <x v="2"/>
    <d v="2015-08-30T00:00:00"/>
    <x v="3"/>
    <n v="8"/>
    <s v="בש/407/2014"/>
    <x v="1"/>
    <n v="1"/>
    <m/>
    <n v="32950"/>
  </r>
  <r>
    <x v="175"/>
    <n v="461658"/>
    <x v="1"/>
    <s v="  "/>
    <n v="1257"/>
    <s v="באר שבע, כלניות"/>
    <x v="2"/>
    <d v="2016-06-27T00:00:00"/>
    <x v="1"/>
    <n v="6"/>
    <s v="בש/256/2015"/>
    <x v="1"/>
    <n v="1"/>
    <m/>
    <n v="33000"/>
  </r>
  <r>
    <x v="175"/>
    <n v="486717"/>
    <x v="1"/>
    <s v="  "/>
    <n v="1539"/>
    <s v="באר שבע, כלניות"/>
    <x v="2"/>
    <d v="2016-06-27T00:00:00"/>
    <x v="1"/>
    <n v="6"/>
    <s v="בש/256/2015"/>
    <x v="1"/>
    <n v="1"/>
    <m/>
    <n v="33000"/>
  </r>
  <r>
    <x v="175"/>
    <n v="514458"/>
    <x v="1"/>
    <s v="  "/>
    <n v="1443"/>
    <s v="באר שבע, כלניות"/>
    <x v="2"/>
    <d v="2016-06-27T00:00:00"/>
    <x v="1"/>
    <n v="6"/>
    <s v="בש/256/2015"/>
    <x v="1"/>
    <n v="1"/>
    <m/>
    <n v="33000"/>
  </r>
  <r>
    <x v="176"/>
    <n v="542364"/>
    <x v="1"/>
    <s v="  "/>
    <n v="1573"/>
    <s v="באר שבע, כלניות"/>
    <x v="2"/>
    <d v="2016-06-27T00:00:00"/>
    <x v="1"/>
    <n v="6"/>
    <s v="בש/256/2015"/>
    <x v="1"/>
    <n v="1"/>
    <m/>
    <n v="33100"/>
  </r>
  <r>
    <x v="177"/>
    <n v="535530"/>
    <x v="1"/>
    <s v="  "/>
    <n v="1425"/>
    <s v="באר שבע, כלניות"/>
    <x v="2"/>
    <d v="2016-06-27T00:00:00"/>
    <x v="1"/>
    <n v="6"/>
    <s v="בש/256/2015"/>
    <x v="1"/>
    <n v="1"/>
    <m/>
    <n v="33180"/>
  </r>
  <r>
    <x v="178"/>
    <n v="563170"/>
    <x v="1"/>
    <s v="  "/>
    <n v="1372"/>
    <s v="באר שבע, כלניות"/>
    <x v="2"/>
    <d v="2016-06-27T00:00:00"/>
    <x v="1"/>
    <n v="6"/>
    <s v="בש/256/2015"/>
    <x v="1"/>
    <n v="1"/>
    <m/>
    <n v="33500"/>
  </r>
  <r>
    <x v="179"/>
    <n v="486394"/>
    <x v="1"/>
    <s v="  "/>
    <n v="518"/>
    <s v="באר שבע, כלניות"/>
    <x v="2"/>
    <d v="2015-08-30T00:00:00"/>
    <x v="3"/>
    <n v="8"/>
    <s v="בש/407/2014"/>
    <x v="1"/>
    <n v="1"/>
    <m/>
    <n v="34000"/>
  </r>
  <r>
    <x v="180"/>
    <n v="480447"/>
    <x v="1"/>
    <s v="  "/>
    <n v="145"/>
    <s v="באר שבע, כלניות"/>
    <x v="2"/>
    <d v="2015-08-30T00:00:00"/>
    <x v="3"/>
    <n v="8"/>
    <s v="בש/407/2014"/>
    <x v="1"/>
    <n v="1"/>
    <m/>
    <n v="34010"/>
  </r>
  <r>
    <x v="181"/>
    <n v="455962"/>
    <x v="1"/>
    <s v="  "/>
    <n v="1195"/>
    <s v="באר שבע, כלניות"/>
    <x v="2"/>
    <d v="2016-06-27T00:00:00"/>
    <x v="1"/>
    <n v="6"/>
    <s v="בש/256/2015"/>
    <x v="1"/>
    <n v="1"/>
    <m/>
    <n v="34020"/>
  </r>
  <r>
    <x v="182"/>
    <n v="506218"/>
    <x v="1"/>
    <s v="  "/>
    <n v="1381"/>
    <s v="באר שבע, כלניות"/>
    <x v="2"/>
    <d v="2016-06-27T00:00:00"/>
    <x v="1"/>
    <n v="6"/>
    <s v="בש/256/2015"/>
    <x v="1"/>
    <n v="1"/>
    <m/>
    <n v="34170"/>
  </r>
  <r>
    <x v="183"/>
    <n v="481934"/>
    <x v="1"/>
    <s v="  "/>
    <n v="331"/>
    <s v="באר שבע, כלניות"/>
    <x v="2"/>
    <d v="2015-08-30T00:00:00"/>
    <x v="3"/>
    <n v="8"/>
    <s v="בש/407/2014"/>
    <x v="1"/>
    <n v="1"/>
    <m/>
    <n v="34529"/>
  </r>
  <r>
    <x v="184"/>
    <n v="451976"/>
    <x v="1"/>
    <s v="  "/>
    <n v="1398"/>
    <s v="באר שבע, כלניות"/>
    <x v="2"/>
    <d v="2016-06-27T00:00:00"/>
    <x v="1"/>
    <n v="6"/>
    <s v="בש/256/2015"/>
    <x v="1"/>
    <n v="1"/>
    <m/>
    <n v="35000"/>
  </r>
  <r>
    <x v="184"/>
    <n v="543504"/>
    <x v="1"/>
    <s v="  "/>
    <n v="1319"/>
    <s v="באר שבע, כלניות"/>
    <x v="2"/>
    <d v="2016-06-27T00:00:00"/>
    <x v="1"/>
    <n v="6"/>
    <s v="בש/256/2015"/>
    <x v="1"/>
    <n v="1"/>
    <m/>
    <n v="35000"/>
  </r>
  <r>
    <x v="185"/>
    <n v="568866"/>
    <x v="1"/>
    <s v="  "/>
    <n v="1312"/>
    <s v="באר שבע, כלניות"/>
    <x v="2"/>
    <d v="2016-06-27T00:00:00"/>
    <x v="1"/>
    <n v="6"/>
    <s v="בש/256/2015"/>
    <x v="1"/>
    <n v="1"/>
    <m/>
    <n v="35180"/>
  </r>
  <r>
    <x v="186"/>
    <n v="571145"/>
    <x v="1"/>
    <s v="  "/>
    <n v="1298"/>
    <s v="באר שבע, כלניות"/>
    <x v="2"/>
    <d v="2016-06-27T00:00:00"/>
    <x v="1"/>
    <n v="6"/>
    <s v="בש/256/2015"/>
    <x v="1"/>
    <n v="1"/>
    <m/>
    <n v="35555"/>
  </r>
  <r>
    <x v="187"/>
    <n v="473618"/>
    <x v="1"/>
    <s v="  "/>
    <n v="1366"/>
    <s v="באר שבע, כלניות"/>
    <x v="2"/>
    <d v="2016-06-27T00:00:00"/>
    <x v="1"/>
    <n v="6"/>
    <s v="בש/256/2015"/>
    <x v="1"/>
    <n v="1"/>
    <m/>
    <n v="35767"/>
  </r>
  <r>
    <x v="188"/>
    <n v="484908"/>
    <x v="1"/>
    <s v="  "/>
    <n v="43"/>
    <s v="באר שבע, כלניות"/>
    <x v="2"/>
    <d v="2015-08-30T00:00:00"/>
    <x v="3"/>
    <n v="8"/>
    <s v="בש/407/2014"/>
    <x v="1"/>
    <n v="1"/>
    <m/>
    <n v="35995"/>
  </r>
  <r>
    <x v="189"/>
    <n v="567994"/>
    <x v="1"/>
    <s v="  "/>
    <n v="277"/>
    <s v="באר שבע, כלניות"/>
    <x v="2"/>
    <d v="2016-06-27T00:00:00"/>
    <x v="1"/>
    <n v="6"/>
    <s v="בש/256/2015"/>
    <x v="1"/>
    <n v="1"/>
    <m/>
    <n v="36000"/>
  </r>
  <r>
    <x v="190"/>
    <n v="482430"/>
    <x v="1"/>
    <s v="  "/>
    <n v="87"/>
    <s v="באר שבע, כלניות"/>
    <x v="2"/>
    <d v="2015-08-30T00:00:00"/>
    <x v="3"/>
    <n v="8"/>
    <s v="בש/407/2014"/>
    <x v="1"/>
    <n v="1"/>
    <m/>
    <n v="36110"/>
  </r>
  <r>
    <x v="191"/>
    <n v="492837"/>
    <x v="1"/>
    <s v="  "/>
    <n v="208"/>
    <s v="באר שבע, כלניות"/>
    <x v="2"/>
    <d v="2015-08-30T00:00:00"/>
    <x v="3"/>
    <n v="8"/>
    <s v="בש/407/2014"/>
    <x v="1"/>
    <n v="1"/>
    <m/>
    <n v="36126"/>
  </r>
  <r>
    <x v="192"/>
    <n v="541796"/>
    <x v="1"/>
    <s v="  "/>
    <n v="1339"/>
    <s v="באר שבע, כלניות"/>
    <x v="2"/>
    <d v="2016-06-27T00:00:00"/>
    <x v="1"/>
    <n v="6"/>
    <s v="בש/256/2015"/>
    <x v="1"/>
    <n v="1"/>
    <m/>
    <n v="36260"/>
  </r>
  <r>
    <x v="193"/>
    <n v="514458"/>
    <x v="1"/>
    <s v="  "/>
    <n v="1239"/>
    <s v="באר שבע, כלניות"/>
    <x v="2"/>
    <d v="2016-06-27T00:00:00"/>
    <x v="1"/>
    <n v="6"/>
    <s v="בש/256/2015"/>
    <x v="1"/>
    <n v="1"/>
    <m/>
    <n v="36360"/>
  </r>
  <r>
    <x v="193"/>
    <n v="514458"/>
    <x v="1"/>
    <s v="  "/>
    <n v="1274"/>
    <s v="באר שבע, כלניות"/>
    <x v="2"/>
    <d v="2016-06-27T00:00:00"/>
    <x v="1"/>
    <n v="6"/>
    <s v="בש/256/2015"/>
    <x v="1"/>
    <n v="1"/>
    <m/>
    <n v="36360"/>
  </r>
  <r>
    <x v="193"/>
    <n v="568296"/>
    <x v="1"/>
    <s v="  "/>
    <n v="1308"/>
    <s v="באר שבע, כלניות"/>
    <x v="2"/>
    <d v="2016-06-27T00:00:00"/>
    <x v="1"/>
    <n v="6"/>
    <s v="בש/256/2015"/>
    <x v="1"/>
    <n v="1"/>
    <m/>
    <n v="36360"/>
  </r>
  <r>
    <x v="193"/>
    <n v="568866"/>
    <x v="1"/>
    <s v="  "/>
    <n v="1311"/>
    <s v="באר שבע, כלניות"/>
    <x v="2"/>
    <d v="2016-06-27T00:00:00"/>
    <x v="1"/>
    <n v="6"/>
    <s v="בש/256/2015"/>
    <x v="1"/>
    <n v="1"/>
    <m/>
    <n v="36360"/>
  </r>
  <r>
    <x v="194"/>
    <n v="579385"/>
    <x v="1"/>
    <s v="  "/>
    <n v="1010"/>
    <s v="באר שבע, כלניות"/>
    <x v="2"/>
    <d v="2016-06-27T00:00:00"/>
    <x v="1"/>
    <n v="6"/>
    <s v="בש/256/2015"/>
    <x v="1"/>
    <n v="1"/>
    <m/>
    <n v="36666"/>
  </r>
  <r>
    <x v="195"/>
    <n v="523881"/>
    <x v="1"/>
    <s v="  "/>
    <n v="661"/>
    <s v="באר שבע, כלניות"/>
    <x v="2"/>
    <d v="2015-08-30T00:00:00"/>
    <x v="3"/>
    <n v="8"/>
    <s v="בש/407/2014"/>
    <x v="1"/>
    <n v="1"/>
    <m/>
    <n v="36700"/>
  </r>
  <r>
    <x v="196"/>
    <n v="485403"/>
    <x v="1"/>
    <s v="  "/>
    <n v="369"/>
    <s v="באר שבע, כלניות"/>
    <x v="2"/>
    <d v="2015-08-30T00:00:00"/>
    <x v="3"/>
    <n v="8"/>
    <s v="בש/407/2014"/>
    <x v="1"/>
    <n v="1"/>
    <m/>
    <n v="36900"/>
  </r>
  <r>
    <x v="196"/>
    <n v="568866"/>
    <x v="1"/>
    <s v="  "/>
    <n v="1313"/>
    <s v="באר שבע, כלניות"/>
    <x v="2"/>
    <d v="2016-06-27T00:00:00"/>
    <x v="1"/>
    <n v="6"/>
    <s v="בש/256/2015"/>
    <x v="1"/>
    <n v="1"/>
    <m/>
    <n v="36900"/>
  </r>
  <r>
    <x v="197"/>
    <n v="488873"/>
    <x v="1"/>
    <s v="  "/>
    <n v="205"/>
    <s v="באר שבע, כלניות"/>
    <x v="2"/>
    <d v="2015-08-30T00:00:00"/>
    <x v="3"/>
    <n v="8"/>
    <s v="בש/407/2014"/>
    <x v="1"/>
    <n v="1"/>
    <m/>
    <n v="38130"/>
  </r>
  <r>
    <x v="198"/>
    <n v="476482"/>
    <x v="1"/>
    <s v="  "/>
    <n v="42"/>
    <s v="באר שבע, כלניות"/>
    <x v="2"/>
    <d v="2015-08-30T00:00:00"/>
    <x v="3"/>
    <n v="8"/>
    <s v="בש/407/2014"/>
    <x v="1"/>
    <n v="1"/>
    <m/>
    <n v="38300"/>
  </r>
  <r>
    <x v="199"/>
    <n v="544643"/>
    <x v="1"/>
    <s v="  "/>
    <n v="1607"/>
    <s v="באר שבע, כלניות"/>
    <x v="2"/>
    <d v="2016-06-27T00:00:00"/>
    <x v="1"/>
    <n v="6"/>
    <s v="בש/256/2015"/>
    <x v="1"/>
    <n v="1"/>
    <m/>
    <n v="38717"/>
  </r>
  <r>
    <x v="200"/>
    <n v="488377"/>
    <x v="1"/>
    <s v="  "/>
    <n v="462"/>
    <s v="באר שבע, כלניות"/>
    <x v="2"/>
    <d v="2015-08-30T00:00:00"/>
    <x v="3"/>
    <n v="8"/>
    <s v="בש/407/2014"/>
    <x v="1"/>
    <n v="1"/>
    <m/>
    <n v="39654"/>
  </r>
  <r>
    <x v="201"/>
    <n v="470201"/>
    <x v="1"/>
    <s v="  "/>
    <n v="1163"/>
    <s v="באר שבע, כלניות"/>
    <x v="2"/>
    <d v="2016-06-27T00:00:00"/>
    <x v="1"/>
    <n v="6"/>
    <s v="בש/256/2015"/>
    <x v="1"/>
    <n v="1"/>
    <m/>
    <n v="40000"/>
  </r>
  <r>
    <x v="201"/>
    <n v="491350"/>
    <x v="1"/>
    <s v="  "/>
    <n v="351"/>
    <s v="באר שבע, כלניות"/>
    <x v="2"/>
    <d v="2015-08-30T00:00:00"/>
    <x v="3"/>
    <n v="8"/>
    <s v="בש/407/2014"/>
    <x v="1"/>
    <n v="1"/>
    <m/>
    <n v="40000"/>
  </r>
  <r>
    <x v="201"/>
    <n v="514458"/>
    <x v="1"/>
    <s v="  "/>
    <n v="1523"/>
    <s v="באר שבע, כלניות"/>
    <x v="2"/>
    <d v="2016-06-27T00:00:00"/>
    <x v="1"/>
    <n v="6"/>
    <s v="בש/256/2015"/>
    <x v="1"/>
    <n v="1"/>
    <m/>
    <n v="40000"/>
  </r>
  <r>
    <x v="201"/>
    <n v="559450"/>
    <x v="1"/>
    <s v="  "/>
    <n v="12"/>
    <s v="באר שבע, כלניות"/>
    <x v="2"/>
    <d v="2016-06-27T00:00:00"/>
    <x v="1"/>
    <n v="6"/>
    <s v="בש/256/2015"/>
    <x v="1"/>
    <n v="1"/>
    <m/>
    <n v="40000"/>
  </r>
  <r>
    <x v="202"/>
    <n v="566855"/>
    <x v="1"/>
    <s v="  "/>
    <n v="6"/>
    <s v="באר שבע, כלניות"/>
    <x v="2"/>
    <d v="2016-06-27T00:00:00"/>
    <x v="1"/>
    <n v="6"/>
    <s v="בש/256/2015"/>
    <x v="1"/>
    <n v="1"/>
    <m/>
    <n v="40100"/>
  </r>
  <r>
    <x v="203"/>
    <n v="565147"/>
    <x v="1"/>
    <s v="  "/>
    <n v="1505"/>
    <s v="באר שבע, כלניות"/>
    <x v="2"/>
    <d v="2016-06-27T00:00:00"/>
    <x v="1"/>
    <n v="6"/>
    <s v="בש/256/2015"/>
    <x v="1"/>
    <n v="1"/>
    <m/>
    <n v="40500"/>
  </r>
  <r>
    <x v="204"/>
    <n v="468492"/>
    <x v="1"/>
    <s v="  "/>
    <n v="1129"/>
    <s v="באר שבע, כלניות"/>
    <x v="2"/>
    <d v="2016-06-27T00:00:00"/>
    <x v="1"/>
    <n v="6"/>
    <s v="בש/256/2015"/>
    <x v="1"/>
    <n v="1"/>
    <m/>
    <n v="40518"/>
  </r>
  <r>
    <x v="205"/>
    <n v="476466"/>
    <x v="1"/>
    <s v="  "/>
    <n v="1531"/>
    <s v="באר שבע, כלניות"/>
    <x v="2"/>
    <d v="2016-06-27T00:00:00"/>
    <x v="1"/>
    <n v="6"/>
    <s v="בש/256/2015"/>
    <x v="1"/>
    <n v="1"/>
    <m/>
    <n v="41000"/>
  </r>
  <r>
    <x v="205"/>
    <n v="613186"/>
    <x v="1"/>
    <s v="  "/>
    <n v="664"/>
    <s v="באר שבע, כלניות"/>
    <x v="2"/>
    <d v="2016-06-27T00:00:00"/>
    <x v="1"/>
    <n v="6"/>
    <s v="בש/256/2015"/>
    <x v="1"/>
    <n v="1"/>
    <m/>
    <n v="41000"/>
  </r>
  <r>
    <x v="206"/>
    <n v="475987"/>
    <x v="1"/>
    <s v="  "/>
    <n v="179"/>
    <s v="באר שבע, כלניות"/>
    <x v="2"/>
    <d v="2015-08-30T00:00:00"/>
    <x v="3"/>
    <n v="8"/>
    <s v="בש/407/2014"/>
    <x v="1"/>
    <n v="1"/>
    <m/>
    <n v="41100"/>
  </r>
  <r>
    <x v="207"/>
    <n v="478960"/>
    <x v="1"/>
    <s v="  "/>
    <n v="427"/>
    <s v="באר שבע, כלניות"/>
    <x v="2"/>
    <d v="2015-08-30T00:00:00"/>
    <x v="3"/>
    <n v="8"/>
    <s v="בש/407/2014"/>
    <x v="1"/>
    <n v="1"/>
    <m/>
    <n v="41101"/>
  </r>
  <r>
    <x v="208"/>
    <n v="568296"/>
    <x v="1"/>
    <s v="  "/>
    <n v="1307"/>
    <s v="באר שבע, כלניות"/>
    <x v="2"/>
    <d v="2016-06-27T00:00:00"/>
    <x v="1"/>
    <n v="6"/>
    <s v="בש/256/2015"/>
    <x v="1"/>
    <n v="1"/>
    <m/>
    <n v="41606"/>
  </r>
  <r>
    <x v="209"/>
    <n v="470039"/>
    <x v="1"/>
    <s v="  "/>
    <n v="178"/>
    <s v="באר שבע, כלניות"/>
    <x v="2"/>
    <d v="2015-08-30T00:00:00"/>
    <x v="3"/>
    <n v="8"/>
    <s v="בש/407/2014"/>
    <x v="1"/>
    <n v="1"/>
    <m/>
    <n v="42363"/>
  </r>
  <r>
    <x v="210"/>
    <n v="493828"/>
    <x v="1"/>
    <s v="  "/>
    <n v="140"/>
    <s v="באר שבע, כלניות"/>
    <x v="2"/>
    <d v="2015-08-30T00:00:00"/>
    <x v="3"/>
    <n v="8"/>
    <s v="בש/407/2014"/>
    <x v="1"/>
    <n v="1"/>
    <m/>
    <n v="42500"/>
  </r>
  <r>
    <x v="210"/>
    <n v="499279"/>
    <x v="1"/>
    <s v="  "/>
    <n v="336"/>
    <s v="באר שבע, כלניות"/>
    <x v="2"/>
    <d v="2015-08-30T00:00:00"/>
    <x v="3"/>
    <n v="8"/>
    <s v="בש/407/2014"/>
    <x v="1"/>
    <n v="1"/>
    <m/>
    <n v="42500"/>
  </r>
  <r>
    <x v="211"/>
    <n v="499279"/>
    <x v="1"/>
    <s v="  "/>
    <n v="112"/>
    <s v="באר שבע, כלניות"/>
    <x v="2"/>
    <d v="2015-08-30T00:00:00"/>
    <x v="3"/>
    <n v="8"/>
    <s v="בש/407/2014"/>
    <x v="1"/>
    <n v="1"/>
    <m/>
    <n v="42550"/>
  </r>
  <r>
    <x v="212"/>
    <n v="568866"/>
    <x v="1"/>
    <s v="  "/>
    <n v="1309"/>
    <s v="באר שבע, כלניות"/>
    <x v="2"/>
    <d v="2016-06-27T00:00:00"/>
    <x v="1"/>
    <n v="6"/>
    <s v="בש/256/2015"/>
    <x v="1"/>
    <n v="1"/>
    <m/>
    <n v="42606"/>
  </r>
  <r>
    <x v="213"/>
    <n v="560021"/>
    <x v="1"/>
    <s v="  "/>
    <n v="272"/>
    <s v="באר שבע, כלניות"/>
    <x v="2"/>
    <d v="2016-06-27T00:00:00"/>
    <x v="1"/>
    <n v="6"/>
    <s v="בש/256/2015"/>
    <x v="1"/>
    <n v="1"/>
    <m/>
    <n v="42717"/>
  </r>
  <r>
    <x v="214"/>
    <n v="468492"/>
    <x v="1"/>
    <s v="  "/>
    <n v="1132"/>
    <s v="באר שבע, כלניות"/>
    <x v="2"/>
    <d v="2016-06-27T00:00:00"/>
    <x v="1"/>
    <n v="6"/>
    <s v="בש/256/2015"/>
    <x v="1"/>
    <n v="1"/>
    <m/>
    <n v="43000"/>
  </r>
  <r>
    <x v="214"/>
    <n v="482160"/>
    <x v="1"/>
    <s v="  "/>
    <n v="1536"/>
    <s v="באר שבע, כלניות"/>
    <x v="2"/>
    <d v="2016-06-27T00:00:00"/>
    <x v="1"/>
    <n v="6"/>
    <s v="בש/256/2015"/>
    <x v="1"/>
    <n v="1"/>
    <m/>
    <n v="43000"/>
  </r>
  <r>
    <x v="215"/>
    <n v="529569"/>
    <x v="1"/>
    <s v="  "/>
    <n v="1378"/>
    <s v="באר שבע, כלניות"/>
    <x v="2"/>
    <d v="2016-06-27T00:00:00"/>
    <x v="1"/>
    <n v="6"/>
    <s v="בש/256/2015"/>
    <x v="1"/>
    <n v="1"/>
    <m/>
    <n v="43105"/>
  </r>
  <r>
    <x v="216"/>
    <n v="514458"/>
    <x v="1"/>
    <s v="  "/>
    <n v="1522"/>
    <s v="באר שבע, כלניות"/>
    <x v="2"/>
    <d v="2016-06-27T00:00:00"/>
    <x v="1"/>
    <n v="6"/>
    <s v="בש/256/2015"/>
    <x v="1"/>
    <n v="1"/>
    <m/>
    <n v="43180"/>
  </r>
  <r>
    <x v="217"/>
    <n v="567994"/>
    <x v="1"/>
    <s v="  "/>
    <n v="1356"/>
    <s v="באר שבע, כלניות"/>
    <x v="2"/>
    <d v="2016-06-27T00:00:00"/>
    <x v="1"/>
    <n v="6"/>
    <s v="בש/256/2015"/>
    <x v="1"/>
    <n v="1"/>
    <m/>
    <n v="43187"/>
  </r>
  <r>
    <x v="218"/>
    <n v="476482"/>
    <x v="1"/>
    <s v="  "/>
    <n v="386"/>
    <s v="באר שבע, כלניות"/>
    <x v="2"/>
    <d v="2015-08-30T00:00:00"/>
    <x v="3"/>
    <n v="8"/>
    <s v="בש/407/2014"/>
    <x v="1"/>
    <n v="1"/>
    <m/>
    <n v="43995"/>
  </r>
  <r>
    <x v="219"/>
    <n v="542935"/>
    <x v="1"/>
    <s v="  "/>
    <n v="1236"/>
    <s v="באר שבע, כלניות"/>
    <x v="2"/>
    <d v="2016-06-27T00:00:00"/>
    <x v="1"/>
    <n v="6"/>
    <s v="בש/256/2015"/>
    <x v="1"/>
    <n v="1"/>
    <m/>
    <n v="44018"/>
  </r>
  <r>
    <x v="220"/>
    <n v="564576"/>
    <x v="1"/>
    <s v="  "/>
    <n v="9"/>
    <s v="באר שבע, כלניות"/>
    <x v="2"/>
    <d v="2016-06-27T00:00:00"/>
    <x v="1"/>
    <n v="6"/>
    <s v="בש/256/2015"/>
    <x v="1"/>
    <n v="1"/>
    <m/>
    <n v="44100"/>
  </r>
  <r>
    <x v="221"/>
    <n v="489368"/>
    <x v="1"/>
    <s v="  "/>
    <n v="115"/>
    <s v="באר שבע, כלניות"/>
    <x v="2"/>
    <d v="2015-08-30T00:00:00"/>
    <x v="3"/>
    <n v="8"/>
    <s v="בש/407/2014"/>
    <x v="1"/>
    <n v="1"/>
    <m/>
    <n v="44444"/>
  </r>
  <r>
    <x v="221"/>
    <n v="564007"/>
    <x v="1"/>
    <s v="  "/>
    <n v="71"/>
    <s v="באר שבע, כלניות"/>
    <x v="2"/>
    <d v="2016-06-27T00:00:00"/>
    <x v="1"/>
    <n v="6"/>
    <s v="בש/256/2015"/>
    <x v="1"/>
    <n v="1"/>
    <m/>
    <n v="44444"/>
  </r>
  <r>
    <x v="222"/>
    <n v="574259"/>
    <x v="1"/>
    <s v="  "/>
    <n v="1585"/>
    <s v="באר שבע, כלניות"/>
    <x v="2"/>
    <d v="2016-06-27T00:00:00"/>
    <x v="1"/>
    <n v="6"/>
    <s v="בש/256/2015"/>
    <x v="1"/>
    <n v="1"/>
    <m/>
    <n v="44735"/>
  </r>
  <r>
    <x v="223"/>
    <n v="468492"/>
    <x v="1"/>
    <s v="  "/>
    <n v="1137"/>
    <s v="באר שבע, כלניות"/>
    <x v="2"/>
    <d v="2016-06-27T00:00:00"/>
    <x v="1"/>
    <n v="6"/>
    <s v="בש/256/2015"/>
    <x v="1"/>
    <n v="1"/>
    <m/>
    <n v="45000"/>
  </r>
  <r>
    <x v="223"/>
    <n v="468492"/>
    <x v="1"/>
    <s v="  "/>
    <n v="1392"/>
    <s v="באר שבע, כלניות"/>
    <x v="2"/>
    <d v="2016-06-27T00:00:00"/>
    <x v="1"/>
    <n v="6"/>
    <s v="בש/256/2015"/>
    <x v="1"/>
    <n v="1"/>
    <m/>
    <n v="45000"/>
  </r>
  <r>
    <x v="223"/>
    <n v="470201"/>
    <x v="1"/>
    <s v="  "/>
    <n v="1175"/>
    <s v="באר שבע, כלניות"/>
    <x v="2"/>
    <d v="2016-06-27T00:00:00"/>
    <x v="1"/>
    <n v="6"/>
    <s v="בש/256/2015"/>
    <x v="1"/>
    <n v="1"/>
    <m/>
    <n v="45000"/>
  </r>
  <r>
    <x v="223"/>
    <n v="544074"/>
    <x v="1"/>
    <s v="  "/>
    <n v="1427"/>
    <s v="באר שבע, כלניות"/>
    <x v="2"/>
    <d v="2016-06-27T00:00:00"/>
    <x v="1"/>
    <n v="6"/>
    <s v="בש/256/2015"/>
    <x v="1"/>
    <n v="1"/>
    <m/>
    <n v="45000"/>
  </r>
  <r>
    <x v="224"/>
    <n v="550338"/>
    <x v="1"/>
    <s v="  "/>
    <n v="1581"/>
    <s v="באר שבע, כלניות"/>
    <x v="2"/>
    <d v="2016-06-27T00:00:00"/>
    <x v="1"/>
    <n v="6"/>
    <s v="בש/256/2015"/>
    <x v="1"/>
    <n v="1"/>
    <m/>
    <n v="45600"/>
  </r>
  <r>
    <x v="225"/>
    <n v="466214"/>
    <x v="1"/>
    <s v="  "/>
    <n v="1365"/>
    <s v="באר שבע, כלניות"/>
    <x v="2"/>
    <d v="2016-06-27T00:00:00"/>
    <x v="1"/>
    <n v="6"/>
    <s v="בש/256/2015"/>
    <x v="1"/>
    <n v="1"/>
    <m/>
    <n v="46000"/>
  </r>
  <r>
    <x v="225"/>
    <n v="556034"/>
    <x v="1"/>
    <s v="  "/>
    <n v="1009"/>
    <s v="באר שבע, כלניות"/>
    <x v="2"/>
    <d v="2016-06-27T00:00:00"/>
    <x v="1"/>
    <n v="6"/>
    <s v="בש/256/2015"/>
    <x v="1"/>
    <n v="1"/>
    <m/>
    <n v="46000"/>
  </r>
  <r>
    <x v="226"/>
    <n v="495316"/>
    <x v="1"/>
    <s v="  "/>
    <n v="338"/>
    <s v="באר שבע, כלניות"/>
    <x v="2"/>
    <d v="2015-08-30T00:00:00"/>
    <x v="3"/>
    <n v="8"/>
    <s v="בש/407/2014"/>
    <x v="1"/>
    <n v="1"/>
    <m/>
    <n v="46018"/>
  </r>
  <r>
    <x v="227"/>
    <n v="556034"/>
    <x v="1"/>
    <s v="  "/>
    <n v="1329"/>
    <s v="באר שבע, כלניות"/>
    <x v="2"/>
    <d v="2016-06-27T00:00:00"/>
    <x v="1"/>
    <n v="6"/>
    <s v="בש/256/2015"/>
    <x v="1"/>
    <n v="1"/>
    <m/>
    <n v="46180"/>
  </r>
  <r>
    <x v="228"/>
    <n v="562299"/>
    <x v="1"/>
    <s v="  "/>
    <n v="48"/>
    <s v="באר שבע, כלניות"/>
    <x v="2"/>
    <d v="2016-06-27T00:00:00"/>
    <x v="1"/>
    <n v="6"/>
    <s v="בש/256/2015"/>
    <x v="1"/>
    <n v="1"/>
    <m/>
    <n v="46230"/>
  </r>
  <r>
    <x v="229"/>
    <n v="514458"/>
    <x v="1"/>
    <s v="  "/>
    <n v="1273"/>
    <s v="באר שבע, כלניות"/>
    <x v="2"/>
    <d v="2016-06-27T00:00:00"/>
    <x v="1"/>
    <n v="6"/>
    <s v="בש/256/2015"/>
    <x v="1"/>
    <n v="1"/>
    <m/>
    <n v="46416"/>
  </r>
  <r>
    <x v="230"/>
    <n v="454823"/>
    <x v="1"/>
    <s v="  "/>
    <n v="1246"/>
    <s v="באר שבע, כלניות"/>
    <x v="2"/>
    <d v="2016-06-27T00:00:00"/>
    <x v="1"/>
    <n v="6"/>
    <s v="בש/256/2015"/>
    <x v="1"/>
    <n v="1"/>
    <m/>
    <n v="46602"/>
  </r>
  <r>
    <x v="231"/>
    <n v="569702"/>
    <x v="1"/>
    <s v="  "/>
    <n v="1489"/>
    <s v="באר שבע, כלניות"/>
    <x v="2"/>
    <d v="2016-06-27T00:00:00"/>
    <x v="1"/>
    <n v="6"/>
    <s v="בש/256/2015"/>
    <x v="1"/>
    <n v="1"/>
    <m/>
    <n v="48800"/>
  </r>
  <r>
    <x v="232"/>
    <n v="557173"/>
    <x v="1"/>
    <s v="  "/>
    <n v="1317"/>
    <s v="באר שבע, כלניות"/>
    <x v="2"/>
    <d v="2016-06-27T00:00:00"/>
    <x v="1"/>
    <n v="6"/>
    <s v="בש/256/2015"/>
    <x v="1"/>
    <n v="1"/>
    <m/>
    <n v="48801"/>
  </r>
  <r>
    <x v="233"/>
    <n v="487385"/>
    <x v="1"/>
    <s v="  "/>
    <n v="72"/>
    <s v="באר שבע, כלניות"/>
    <x v="2"/>
    <d v="2015-08-30T00:00:00"/>
    <x v="3"/>
    <n v="8"/>
    <s v="בש/407/2014"/>
    <x v="1"/>
    <n v="1"/>
    <m/>
    <n v="49100"/>
  </r>
  <r>
    <x v="234"/>
    <n v="542364"/>
    <x v="1"/>
    <s v="  "/>
    <n v="1567"/>
    <s v="באר שבע, כלניות"/>
    <x v="2"/>
    <d v="2016-06-27T00:00:00"/>
    <x v="1"/>
    <n v="6"/>
    <s v="בש/256/2015"/>
    <x v="1"/>
    <n v="1"/>
    <m/>
    <n v="49200"/>
  </r>
  <r>
    <x v="235"/>
    <n v="550338"/>
    <x v="1"/>
    <s v="  "/>
    <n v="1453"/>
    <s v="באר שבע, כלניות"/>
    <x v="2"/>
    <d v="2016-06-27T00:00:00"/>
    <x v="1"/>
    <n v="6"/>
    <s v="בש/256/2015"/>
    <x v="1"/>
    <n v="1"/>
    <m/>
    <n v="49320"/>
  </r>
  <r>
    <x v="236"/>
    <n v="542935"/>
    <x v="1"/>
    <s v="  "/>
    <n v="1430"/>
    <s v="באר שבע, כלניות"/>
    <x v="2"/>
    <d v="2016-06-27T00:00:00"/>
    <x v="1"/>
    <n v="6"/>
    <s v="בש/256/2015"/>
    <x v="1"/>
    <n v="1"/>
    <m/>
    <n v="49535"/>
  </r>
  <r>
    <x v="237"/>
    <n v="491845"/>
    <x v="1"/>
    <s v="  "/>
    <n v="7"/>
    <s v="באר שבע, כלניות"/>
    <x v="2"/>
    <d v="2015-08-30T00:00:00"/>
    <x v="3"/>
    <n v="8"/>
    <s v="בש/407/2014"/>
    <x v="1"/>
    <n v="1"/>
    <m/>
    <n v="49600"/>
  </r>
  <r>
    <x v="238"/>
    <n v="468492"/>
    <x v="1"/>
    <s v="  "/>
    <n v="1156"/>
    <s v="באר שבע, כלניות"/>
    <x v="2"/>
    <d v="2016-06-27T00:00:00"/>
    <x v="1"/>
    <n v="6"/>
    <s v="בש/256/2015"/>
    <x v="1"/>
    <n v="1"/>
    <m/>
    <n v="49725"/>
  </r>
  <r>
    <x v="239"/>
    <n v="487385"/>
    <x v="1"/>
    <s v="  "/>
    <n v="322"/>
    <s v="באר שבע, כלניות"/>
    <x v="2"/>
    <d v="2015-08-30T00:00:00"/>
    <x v="3"/>
    <n v="8"/>
    <s v="בש/407/2014"/>
    <x v="1"/>
    <n v="1"/>
    <m/>
    <n v="49950"/>
  </r>
  <r>
    <x v="240"/>
    <n v="460519"/>
    <x v="1"/>
    <s v="  "/>
    <n v="1134"/>
    <s v="באר שבע, כלניות"/>
    <x v="2"/>
    <d v="2016-06-27T00:00:00"/>
    <x v="1"/>
    <n v="6"/>
    <s v="בש/256/2015"/>
    <x v="1"/>
    <n v="1"/>
    <m/>
    <n v="50000"/>
  </r>
  <r>
    <x v="240"/>
    <n v="482925"/>
    <x v="1"/>
    <s v="  "/>
    <n v="188"/>
    <s v="באר שבע, כלניות"/>
    <x v="2"/>
    <d v="2015-08-30T00:00:00"/>
    <x v="3"/>
    <n v="8"/>
    <s v="בש/407/2014"/>
    <x v="1"/>
    <n v="1"/>
    <m/>
    <n v="50000"/>
  </r>
  <r>
    <x v="240"/>
    <n v="483870"/>
    <x v="1"/>
    <s v="  "/>
    <n v="1537"/>
    <s v="באר שבע, כלניות"/>
    <x v="2"/>
    <d v="2016-06-27T00:00:00"/>
    <x v="1"/>
    <n v="6"/>
    <s v="בש/256/2015"/>
    <x v="1"/>
    <n v="1"/>
    <m/>
    <n v="50000"/>
  </r>
  <r>
    <x v="240"/>
    <n v="514458"/>
    <x v="1"/>
    <s v="  "/>
    <n v="1237"/>
    <s v="באר שבע, כלניות"/>
    <x v="2"/>
    <d v="2016-06-27T00:00:00"/>
    <x v="1"/>
    <n v="6"/>
    <s v="בש/256/2015"/>
    <x v="1"/>
    <n v="1"/>
    <m/>
    <n v="50000"/>
  </r>
  <r>
    <x v="240"/>
    <n v="544074"/>
    <x v="1"/>
    <s v="  "/>
    <n v="1462"/>
    <s v="באר שבע, כלניות"/>
    <x v="2"/>
    <d v="2016-06-27T00:00:00"/>
    <x v="1"/>
    <n v="6"/>
    <s v="בש/256/2015"/>
    <x v="1"/>
    <n v="1"/>
    <m/>
    <n v="50000"/>
  </r>
  <r>
    <x v="241"/>
    <n v="559450"/>
    <x v="1"/>
    <s v="  "/>
    <n v="4"/>
    <s v="באר שבע, כלניות"/>
    <x v="2"/>
    <d v="2016-06-27T00:00:00"/>
    <x v="1"/>
    <n v="6"/>
    <s v="בש/256/2015"/>
    <x v="1"/>
    <n v="1"/>
    <m/>
    <n v="50100"/>
  </r>
  <r>
    <x v="242"/>
    <n v="547490"/>
    <x v="1"/>
    <s v="  "/>
    <n v="1477"/>
    <s v="באר שבע, כלניות"/>
    <x v="2"/>
    <d v="2016-06-27T00:00:00"/>
    <x v="1"/>
    <n v="6"/>
    <s v="בש/256/2015"/>
    <x v="1"/>
    <n v="1"/>
    <m/>
    <n v="50700"/>
  </r>
  <r>
    <x v="243"/>
    <n v="594761"/>
    <x v="1"/>
    <s v="  "/>
    <n v="213"/>
    <s v="באר שבע, כלניות"/>
    <x v="2"/>
    <d v="2016-06-27T00:00:00"/>
    <x v="1"/>
    <n v="6"/>
    <s v="בש/256/2015"/>
    <x v="1"/>
    <n v="1"/>
    <m/>
    <n v="50999"/>
  </r>
  <r>
    <x v="244"/>
    <n v="468492"/>
    <x v="1"/>
    <s v="  "/>
    <n v="1393"/>
    <s v="באר שבע, כלניות"/>
    <x v="2"/>
    <d v="2016-06-27T00:00:00"/>
    <x v="1"/>
    <n v="6"/>
    <s v="בש/256/2015"/>
    <x v="1"/>
    <n v="1"/>
    <m/>
    <n v="51000"/>
  </r>
  <r>
    <x v="244"/>
    <n v="468492"/>
    <x v="1"/>
    <s v="  "/>
    <n v="1394"/>
    <s v="באר שבע, כלניות"/>
    <x v="2"/>
    <d v="2016-06-27T00:00:00"/>
    <x v="1"/>
    <n v="6"/>
    <s v="בש/256/2015"/>
    <x v="1"/>
    <n v="1"/>
    <m/>
    <n v="51000"/>
  </r>
  <r>
    <x v="244"/>
    <n v="486147"/>
    <x v="1"/>
    <s v="  "/>
    <n v="1538"/>
    <s v="באר שבע, כלניות"/>
    <x v="2"/>
    <d v="2016-06-27T00:00:00"/>
    <x v="1"/>
    <n v="6"/>
    <s v="בש/256/2015"/>
    <x v="1"/>
    <n v="1"/>
    <m/>
    <n v="51000"/>
  </r>
  <r>
    <x v="244"/>
    <n v="516737"/>
    <x v="1"/>
    <s v="  "/>
    <n v="1540"/>
    <s v="באר שבע, כלניות"/>
    <x v="2"/>
    <d v="2016-06-27T00:00:00"/>
    <x v="1"/>
    <n v="6"/>
    <s v="בש/256/2015"/>
    <x v="1"/>
    <n v="1"/>
    <m/>
    <n v="51000"/>
  </r>
  <r>
    <x v="244"/>
    <n v="530975"/>
    <x v="1"/>
    <s v="  "/>
    <n v="1120"/>
    <s v="באר שבע, כלניות"/>
    <x v="2"/>
    <d v="2016-06-27T00:00:00"/>
    <x v="1"/>
    <n v="6"/>
    <s v="בש/256/2015"/>
    <x v="1"/>
    <n v="1"/>
    <m/>
    <n v="51000"/>
  </r>
  <r>
    <x v="244"/>
    <n v="545782"/>
    <x v="1"/>
    <s v="  "/>
    <n v="1212"/>
    <s v="באר שבע, כלניות"/>
    <x v="2"/>
    <d v="2016-06-27T00:00:00"/>
    <x v="1"/>
    <n v="6"/>
    <s v="בש/256/2015"/>
    <x v="1"/>
    <n v="1"/>
    <m/>
    <n v="51000"/>
  </r>
  <r>
    <x v="245"/>
    <n v="565147"/>
    <x v="1"/>
    <s v="  "/>
    <n v="1492"/>
    <s v="באר שבע, כלניות"/>
    <x v="2"/>
    <d v="2016-06-27T00:00:00"/>
    <x v="1"/>
    <n v="6"/>
    <s v="בש/256/2015"/>
    <x v="1"/>
    <n v="1"/>
    <m/>
    <n v="51111"/>
  </r>
  <r>
    <x v="245"/>
    <n v="566855"/>
    <x v="1"/>
    <s v="  "/>
    <n v="1005"/>
    <s v="באר שבע, כלניות"/>
    <x v="2"/>
    <d v="2016-06-27T00:00:00"/>
    <x v="1"/>
    <n v="6"/>
    <s v="בש/256/2015"/>
    <x v="1"/>
    <n v="1"/>
    <m/>
    <n v="51111"/>
  </r>
  <r>
    <x v="246"/>
    <n v="514458"/>
    <x v="1"/>
    <s v="  "/>
    <n v="1269"/>
    <s v="באר שבע, כלניות"/>
    <x v="2"/>
    <d v="2016-06-27T00:00:00"/>
    <x v="1"/>
    <n v="6"/>
    <s v="בש/256/2015"/>
    <x v="1"/>
    <n v="1"/>
    <m/>
    <n v="51202"/>
  </r>
  <r>
    <x v="247"/>
    <n v="542364"/>
    <x v="1"/>
    <s v="  "/>
    <n v="1569"/>
    <s v="באר שבע, כלניות"/>
    <x v="2"/>
    <d v="2016-06-27T00:00:00"/>
    <x v="1"/>
    <n v="6"/>
    <s v="בש/256/2015"/>
    <x v="1"/>
    <n v="1"/>
    <m/>
    <n v="51219"/>
  </r>
  <r>
    <x v="248"/>
    <n v="542364"/>
    <x v="1"/>
    <s v="  "/>
    <n v="1568"/>
    <s v="באר שבע, כלניות"/>
    <x v="2"/>
    <d v="2016-06-27T00:00:00"/>
    <x v="1"/>
    <n v="6"/>
    <s v="בש/256/2015"/>
    <x v="1"/>
    <n v="1"/>
    <m/>
    <n v="51360"/>
  </r>
  <r>
    <x v="249"/>
    <n v="557173"/>
    <x v="1"/>
    <s v="  "/>
    <n v="49"/>
    <s v="באר שבע, כלניות"/>
    <x v="2"/>
    <d v="2016-06-27T00:00:00"/>
    <x v="1"/>
    <n v="6"/>
    <s v="בש/256/2015"/>
    <x v="1"/>
    <n v="1"/>
    <m/>
    <n v="51501"/>
  </r>
  <r>
    <x v="250"/>
    <n v="514458"/>
    <x v="1"/>
    <s v="  "/>
    <n v="1266"/>
    <s v="באר שבע, כלניות"/>
    <x v="2"/>
    <d v="2016-06-27T00:00:00"/>
    <x v="1"/>
    <n v="6"/>
    <s v="בש/256/2015"/>
    <x v="1"/>
    <n v="1"/>
    <m/>
    <n v="51702"/>
  </r>
  <r>
    <x v="251"/>
    <n v="481592"/>
    <x v="1"/>
    <s v="  "/>
    <n v="1279"/>
    <s v="באר שבע, כלניות"/>
    <x v="2"/>
    <d v="2016-06-27T00:00:00"/>
    <x v="1"/>
    <n v="6"/>
    <s v="בש/256/2015"/>
    <x v="1"/>
    <n v="1"/>
    <m/>
    <n v="51790"/>
  </r>
  <r>
    <x v="252"/>
    <n v="483916"/>
    <x v="1"/>
    <s v="  "/>
    <n v="64"/>
    <s v="באר שבע, כלניות"/>
    <x v="2"/>
    <d v="2015-08-30T00:00:00"/>
    <x v="3"/>
    <n v="8"/>
    <s v="בש/407/2014"/>
    <x v="1"/>
    <n v="1"/>
    <m/>
    <n v="52000"/>
  </r>
  <r>
    <x v="252"/>
    <n v="518445"/>
    <x v="1"/>
    <s v="  "/>
    <n v="1255"/>
    <s v="באר שבע, כלניות"/>
    <x v="2"/>
    <d v="2016-06-27T00:00:00"/>
    <x v="1"/>
    <n v="6"/>
    <s v="בש/256/2015"/>
    <x v="1"/>
    <n v="1"/>
    <m/>
    <n v="52000"/>
  </r>
  <r>
    <x v="253"/>
    <n v="555464"/>
    <x v="1"/>
    <s v="  "/>
    <n v="1014"/>
    <s v="באר שבע, כלניות"/>
    <x v="2"/>
    <d v="2016-06-27T00:00:00"/>
    <x v="1"/>
    <n v="6"/>
    <s v="בש/256/2015"/>
    <x v="1"/>
    <n v="1"/>
    <m/>
    <n v="52200"/>
  </r>
  <r>
    <x v="254"/>
    <n v="561729"/>
    <x v="1"/>
    <s v="  "/>
    <n v="1006"/>
    <s v="באר שבע, כלניות"/>
    <x v="2"/>
    <d v="2016-06-27T00:00:00"/>
    <x v="1"/>
    <n v="6"/>
    <s v="בש/256/2015"/>
    <x v="1"/>
    <n v="1"/>
    <m/>
    <n v="52300"/>
  </r>
  <r>
    <x v="255"/>
    <n v="514458"/>
    <x v="1"/>
    <s v="  "/>
    <n v="1510"/>
    <s v="באר שבע, כלניות"/>
    <x v="2"/>
    <d v="2016-06-27T00:00:00"/>
    <x v="1"/>
    <n v="6"/>
    <s v="בש/256/2015"/>
    <x v="1"/>
    <n v="1"/>
    <m/>
    <n v="52550"/>
  </r>
  <r>
    <x v="256"/>
    <n v="510679"/>
    <x v="1"/>
    <s v="  "/>
    <n v="354"/>
    <s v="באר שבע, כלניות"/>
    <x v="2"/>
    <d v="2015-08-30T00:00:00"/>
    <x v="3"/>
    <n v="8"/>
    <s v="בש/407/2014"/>
    <x v="1"/>
    <n v="1"/>
    <m/>
    <n v="52600"/>
  </r>
  <r>
    <x v="257"/>
    <n v="457672"/>
    <x v="1"/>
    <s v="  "/>
    <n v="1400"/>
    <s v="באר שבע, כלניות"/>
    <x v="2"/>
    <d v="2016-06-27T00:00:00"/>
    <x v="1"/>
    <n v="6"/>
    <s v="בש/256/2015"/>
    <x v="1"/>
    <n v="1"/>
    <m/>
    <n v="52718"/>
  </r>
  <r>
    <x v="258"/>
    <n v="569435"/>
    <x v="1"/>
    <s v="  "/>
    <n v="1299"/>
    <s v="באר שבע, כלניות"/>
    <x v="2"/>
    <d v="2016-06-27T00:00:00"/>
    <x v="1"/>
    <n v="6"/>
    <s v="בש/256/2015"/>
    <x v="1"/>
    <n v="1"/>
    <m/>
    <n v="52900"/>
  </r>
  <r>
    <x v="259"/>
    <n v="568866"/>
    <x v="1"/>
    <s v="  "/>
    <n v="1306"/>
    <s v="באר שבע, כלניות"/>
    <x v="2"/>
    <d v="2016-06-27T00:00:00"/>
    <x v="1"/>
    <n v="6"/>
    <s v="בש/256/2015"/>
    <x v="1"/>
    <n v="1"/>
    <m/>
    <n v="53000"/>
  </r>
  <r>
    <x v="260"/>
    <n v="536670"/>
    <x v="1"/>
    <s v="  "/>
    <n v="1455"/>
    <s v="באר שבע, כלניות"/>
    <x v="2"/>
    <d v="2016-06-27T00:00:00"/>
    <x v="1"/>
    <n v="6"/>
    <s v="בש/256/2015"/>
    <x v="1"/>
    <n v="1"/>
    <m/>
    <n v="53018"/>
  </r>
  <r>
    <x v="261"/>
    <n v="565147"/>
    <x v="1"/>
    <s v="  "/>
    <n v="1493"/>
    <s v="באר שבע, כלניות"/>
    <x v="2"/>
    <d v="2016-06-27T00:00:00"/>
    <x v="1"/>
    <n v="6"/>
    <s v="בש/256/2015"/>
    <x v="1"/>
    <n v="1"/>
    <m/>
    <n v="53100"/>
  </r>
  <r>
    <x v="262"/>
    <n v="489864"/>
    <x v="1"/>
    <s v="  "/>
    <n v="307"/>
    <s v="באר שבע, כלניות"/>
    <x v="2"/>
    <d v="2015-08-30T00:00:00"/>
    <x v="3"/>
    <n v="8"/>
    <s v="בש/407/2014"/>
    <x v="1"/>
    <n v="1"/>
    <m/>
    <n v="53385"/>
  </r>
  <r>
    <x v="263"/>
    <n v="553187"/>
    <x v="1"/>
    <s v="  "/>
    <n v="1292"/>
    <s v="באר שבע, כלניות"/>
    <x v="2"/>
    <d v="2016-06-27T00:00:00"/>
    <x v="1"/>
    <n v="6"/>
    <s v="בש/256/2015"/>
    <x v="1"/>
    <n v="1"/>
    <m/>
    <n v="53450"/>
  </r>
  <r>
    <x v="264"/>
    <n v="489368"/>
    <x v="1"/>
    <s v="  "/>
    <n v="276"/>
    <s v="באר שבע, כלניות"/>
    <x v="2"/>
    <d v="2015-08-30T00:00:00"/>
    <x v="3"/>
    <n v="8"/>
    <s v="בש/407/2014"/>
    <x v="1"/>
    <n v="1"/>
    <m/>
    <n v="54000"/>
  </r>
  <r>
    <x v="265"/>
    <n v="468492"/>
    <x v="1"/>
    <s v="  "/>
    <n v="1138"/>
    <s v="באר שבע, כלניות"/>
    <x v="2"/>
    <d v="2016-06-27T00:00:00"/>
    <x v="1"/>
    <n v="6"/>
    <s v="בש/256/2015"/>
    <x v="1"/>
    <n v="1"/>
    <m/>
    <n v="54200"/>
  </r>
  <r>
    <x v="266"/>
    <n v="553755"/>
    <x v="1"/>
    <s v="  "/>
    <n v="1281"/>
    <s v="באר שבע, כלניות"/>
    <x v="2"/>
    <d v="2016-06-27T00:00:00"/>
    <x v="1"/>
    <n v="6"/>
    <s v="בש/256/2015"/>
    <x v="1"/>
    <n v="1"/>
    <m/>
    <n v="54855"/>
  </r>
  <r>
    <x v="267"/>
    <n v="544074"/>
    <x v="1"/>
    <s v="  "/>
    <n v="1241"/>
    <s v="באר שבע, כלניות"/>
    <x v="2"/>
    <d v="2016-06-27T00:00:00"/>
    <x v="1"/>
    <n v="6"/>
    <s v="בש/256/2015"/>
    <x v="1"/>
    <n v="1"/>
    <m/>
    <n v="54959"/>
  </r>
  <r>
    <x v="268"/>
    <n v="485899"/>
    <x v="1"/>
    <s v="  "/>
    <n v="483"/>
    <s v="באר שבע, כלניות"/>
    <x v="2"/>
    <d v="2015-08-30T00:00:00"/>
    <x v="3"/>
    <n v="8"/>
    <s v="בש/407/2014"/>
    <x v="1"/>
    <n v="1"/>
    <m/>
    <n v="55000"/>
  </r>
  <r>
    <x v="268"/>
    <n v="488377"/>
    <x v="1"/>
    <s v="  "/>
    <n v="222"/>
    <s v="באר שבע, כלניות"/>
    <x v="2"/>
    <d v="2015-08-30T00:00:00"/>
    <x v="3"/>
    <n v="8"/>
    <s v="בש/407/2014"/>
    <x v="1"/>
    <n v="1"/>
    <m/>
    <n v="55000"/>
  </r>
  <r>
    <x v="268"/>
    <n v="510679"/>
    <x v="1"/>
    <s v="  "/>
    <n v="293"/>
    <s v="באר שבע, כלניות"/>
    <x v="2"/>
    <d v="2015-08-30T00:00:00"/>
    <x v="3"/>
    <n v="8"/>
    <s v="בש/407/2014"/>
    <x v="1"/>
    <n v="1"/>
    <m/>
    <n v="55000"/>
  </r>
  <r>
    <x v="268"/>
    <n v="563437"/>
    <x v="1"/>
    <s v="  "/>
    <n v="1063"/>
    <s v="באר שבע, כלניות"/>
    <x v="2"/>
    <d v="2016-06-27T00:00:00"/>
    <x v="1"/>
    <n v="6"/>
    <s v="בש/256/2015"/>
    <x v="1"/>
    <n v="1"/>
    <m/>
    <n v="55000"/>
  </r>
  <r>
    <x v="268"/>
    <n v="643475"/>
    <x v="1"/>
    <s v="  "/>
    <n v="1297"/>
    <s v="באר שבע, כלניות"/>
    <x v="2"/>
    <d v="2016-06-27T00:00:00"/>
    <x v="1"/>
    <n v="6"/>
    <s v="בש/256/2015"/>
    <x v="1"/>
    <n v="1"/>
    <m/>
    <n v="55000"/>
  </r>
  <r>
    <x v="269"/>
    <n v="491845"/>
    <x v="1"/>
    <s v="  "/>
    <n v="77"/>
    <s v="באר שבע, כלניות"/>
    <x v="2"/>
    <d v="2015-08-30T00:00:00"/>
    <x v="3"/>
    <n v="8"/>
    <s v="בש/407/2014"/>
    <x v="1"/>
    <n v="1"/>
    <m/>
    <n v="55077"/>
  </r>
  <r>
    <x v="270"/>
    <n v="562299"/>
    <x v="1"/>
    <s v="  "/>
    <n v="1069"/>
    <s v="באר שבע, כלניות"/>
    <x v="2"/>
    <d v="2016-06-27T00:00:00"/>
    <x v="1"/>
    <n v="6"/>
    <s v="בש/256/2015"/>
    <x v="1"/>
    <n v="1"/>
    <m/>
    <n v="55300"/>
  </r>
  <r>
    <x v="271"/>
    <n v="468492"/>
    <x v="1"/>
    <s v="  "/>
    <n v="1389"/>
    <s v="באר שבע, כלניות"/>
    <x v="2"/>
    <d v="2016-06-27T00:00:00"/>
    <x v="1"/>
    <n v="6"/>
    <s v="בש/256/2015"/>
    <x v="1"/>
    <n v="1"/>
    <m/>
    <n v="55459"/>
  </r>
  <r>
    <x v="272"/>
    <n v="485899"/>
    <x v="1"/>
    <s v="  "/>
    <n v="70"/>
    <s v="באר שבע, כלניות"/>
    <x v="2"/>
    <d v="2015-08-30T00:00:00"/>
    <x v="3"/>
    <n v="8"/>
    <s v="בש/407/2014"/>
    <x v="1"/>
    <n v="1"/>
    <m/>
    <n v="55550"/>
  </r>
  <r>
    <x v="273"/>
    <n v="489864"/>
    <x v="1"/>
    <s v="  "/>
    <n v="365"/>
    <s v="באר שבע, כלניות"/>
    <x v="2"/>
    <d v="2015-08-30T00:00:00"/>
    <x v="3"/>
    <n v="8"/>
    <s v="בש/407/2014"/>
    <x v="1"/>
    <n v="1"/>
    <m/>
    <n v="55555"/>
  </r>
  <r>
    <x v="273"/>
    <n v="490854"/>
    <x v="1"/>
    <s v="  "/>
    <n v="527"/>
    <s v="באר שבע, כלניות"/>
    <x v="2"/>
    <d v="2015-08-30T00:00:00"/>
    <x v="3"/>
    <n v="8"/>
    <s v="בש/407/2014"/>
    <x v="1"/>
    <n v="1"/>
    <m/>
    <n v="55555"/>
  </r>
  <r>
    <x v="273"/>
    <n v="556603"/>
    <x v="1"/>
    <s v="  "/>
    <n v="73"/>
    <s v="באר שבע, כלניות"/>
    <x v="2"/>
    <d v="2016-06-27T00:00:00"/>
    <x v="1"/>
    <n v="6"/>
    <s v="בש/256/2015"/>
    <x v="1"/>
    <n v="1"/>
    <m/>
    <n v="55555"/>
  </r>
  <r>
    <x v="273"/>
    <n v="558313"/>
    <x v="1"/>
    <s v="  "/>
    <n v="1234"/>
    <s v="באר שבע, כלניות"/>
    <x v="2"/>
    <d v="2016-06-27T00:00:00"/>
    <x v="1"/>
    <n v="6"/>
    <s v="בש/256/2015"/>
    <x v="1"/>
    <n v="1"/>
    <m/>
    <n v="55555"/>
  </r>
  <r>
    <x v="274"/>
    <n v="493828"/>
    <x v="1"/>
    <s v="  "/>
    <n v="372"/>
    <s v="באר שבע, כלניות"/>
    <x v="2"/>
    <d v="2015-08-30T00:00:00"/>
    <x v="3"/>
    <n v="8"/>
    <s v="בש/407/2014"/>
    <x v="1"/>
    <n v="1"/>
    <m/>
    <n v="55556"/>
  </r>
  <r>
    <x v="274"/>
    <n v="512661"/>
    <x v="1"/>
    <s v="  "/>
    <n v="502"/>
    <s v="באר שבע, כלניות"/>
    <x v="2"/>
    <d v="2015-08-30T00:00:00"/>
    <x v="3"/>
    <n v="8"/>
    <s v="בש/407/2014"/>
    <x v="1"/>
    <n v="1"/>
    <m/>
    <n v="55556"/>
  </r>
  <r>
    <x v="274"/>
    <n v="602734"/>
    <x v="1"/>
    <s v="  "/>
    <n v="1417"/>
    <s v="באר שבע, כלניות"/>
    <x v="2"/>
    <d v="2016-06-27T00:00:00"/>
    <x v="1"/>
    <n v="6"/>
    <s v="בש/256/2015"/>
    <x v="1"/>
    <n v="1"/>
    <m/>
    <n v="55556"/>
  </r>
  <r>
    <x v="275"/>
    <n v="514458"/>
    <x v="1"/>
    <s v="  "/>
    <n v="1442"/>
    <s v="באר שבע, כלניות"/>
    <x v="2"/>
    <d v="2016-06-27T00:00:00"/>
    <x v="1"/>
    <n v="6"/>
    <s v="בש/256/2015"/>
    <x v="1"/>
    <n v="1"/>
    <m/>
    <n v="55700"/>
  </r>
  <r>
    <x v="276"/>
    <n v="564576"/>
    <x v="1"/>
    <s v="  "/>
    <n v="1064"/>
    <s v="באר שבע, כלניות"/>
    <x v="2"/>
    <d v="2016-06-27T00:00:00"/>
    <x v="1"/>
    <n v="6"/>
    <s v="בש/256/2015"/>
    <x v="1"/>
    <n v="1"/>
    <m/>
    <n v="56010"/>
  </r>
  <r>
    <x v="277"/>
    <n v="492342"/>
    <x v="1"/>
    <s v="  "/>
    <n v="220"/>
    <s v="באר שבע, כלניות"/>
    <x v="2"/>
    <d v="2015-08-30T00:00:00"/>
    <x v="3"/>
    <n v="8"/>
    <s v="בש/407/2014"/>
    <x v="1"/>
    <n v="1"/>
    <m/>
    <n v="56100"/>
  </r>
  <r>
    <x v="278"/>
    <n v="514458"/>
    <x v="1"/>
    <s v="  "/>
    <n v="1263"/>
    <s v="באר שבע, כלניות"/>
    <x v="2"/>
    <d v="2016-06-27T00:00:00"/>
    <x v="1"/>
    <n v="6"/>
    <s v="בש/256/2015"/>
    <x v="1"/>
    <n v="1"/>
    <m/>
    <n v="56162"/>
  </r>
  <r>
    <x v="279"/>
    <n v="488377"/>
    <x v="1"/>
    <s v="  "/>
    <n v="356"/>
    <s v="באר שבע, כלניות"/>
    <x v="2"/>
    <d v="2015-08-30T00:00:00"/>
    <x v="3"/>
    <n v="8"/>
    <s v="בש/407/2014"/>
    <x v="1"/>
    <n v="1"/>
    <m/>
    <n v="56180"/>
  </r>
  <r>
    <x v="280"/>
    <n v="468492"/>
    <x v="1"/>
    <s v="  "/>
    <n v="1157"/>
    <s v="באר שבע, כלניות"/>
    <x v="2"/>
    <d v="2016-06-27T00:00:00"/>
    <x v="1"/>
    <n v="6"/>
    <s v="בש/256/2015"/>
    <x v="1"/>
    <n v="1"/>
    <m/>
    <n v="56260"/>
  </r>
  <r>
    <x v="281"/>
    <n v="482430"/>
    <x v="1"/>
    <s v="  "/>
    <n v="250"/>
    <s v="באר שבע, כלניות"/>
    <x v="2"/>
    <d v="2015-08-30T00:00:00"/>
    <x v="3"/>
    <n v="8"/>
    <s v="בש/407/2014"/>
    <x v="1"/>
    <n v="1"/>
    <m/>
    <n v="56500"/>
  </r>
  <r>
    <x v="281"/>
    <n v="569702"/>
    <x v="1"/>
    <s v="  "/>
    <n v="278"/>
    <s v="באר שבע, כלניות"/>
    <x v="2"/>
    <d v="2016-06-27T00:00:00"/>
    <x v="1"/>
    <n v="6"/>
    <s v="בש/256/2015"/>
    <x v="1"/>
    <n v="1"/>
    <m/>
    <n v="56500"/>
  </r>
  <r>
    <x v="282"/>
    <n v="560021"/>
    <x v="1"/>
    <s v="  "/>
    <n v="1105"/>
    <s v="באר שבע, כלניות"/>
    <x v="2"/>
    <d v="2016-06-27T00:00:00"/>
    <x v="1"/>
    <n v="6"/>
    <s v="בש/256/2015"/>
    <x v="1"/>
    <n v="1"/>
    <m/>
    <n v="56666"/>
  </r>
  <r>
    <x v="283"/>
    <n v="530818"/>
    <x v="1"/>
    <s v="  "/>
    <n v="656"/>
    <s v="באר שבע, כלניות"/>
    <x v="2"/>
    <d v="2015-08-30T00:00:00"/>
    <x v="3"/>
    <n v="8"/>
    <s v="בש/407/2014"/>
    <x v="1"/>
    <n v="1"/>
    <m/>
    <n v="57200"/>
  </r>
  <r>
    <x v="284"/>
    <n v="483916"/>
    <x v="1"/>
    <s v="  "/>
    <n v="32"/>
    <s v="באר שבע, כלניות"/>
    <x v="2"/>
    <d v="2015-08-30T00:00:00"/>
    <x v="3"/>
    <n v="8"/>
    <s v="בש/407/2014"/>
    <x v="1"/>
    <n v="1"/>
    <m/>
    <n v="57777"/>
  </r>
  <r>
    <x v="284"/>
    <n v="490359"/>
    <x v="1"/>
    <s v="  "/>
    <n v="175"/>
    <s v="באר שבע, כלניות"/>
    <x v="2"/>
    <d v="2015-08-30T00:00:00"/>
    <x v="3"/>
    <n v="8"/>
    <s v="בש/407/2014"/>
    <x v="1"/>
    <n v="1"/>
    <m/>
    <n v="57777"/>
  </r>
  <r>
    <x v="285"/>
    <n v="468492"/>
    <x v="1"/>
    <s v="  "/>
    <n v="1586"/>
    <s v="באר שבע, כלניות"/>
    <x v="2"/>
    <d v="2016-06-27T00:00:00"/>
    <x v="1"/>
    <n v="6"/>
    <s v="בש/256/2015"/>
    <x v="1"/>
    <n v="1"/>
    <m/>
    <n v="57989"/>
  </r>
  <r>
    <x v="286"/>
    <n v="468492"/>
    <x v="1"/>
    <s v="  "/>
    <n v="1131"/>
    <s v="באר שבע, כלניות"/>
    <x v="2"/>
    <d v="2016-06-27T00:00:00"/>
    <x v="1"/>
    <n v="6"/>
    <s v="בש/256/2015"/>
    <x v="1"/>
    <n v="1"/>
    <m/>
    <n v="58000"/>
  </r>
  <r>
    <x v="286"/>
    <n v="565715"/>
    <x v="1"/>
    <s v="  "/>
    <n v="1527"/>
    <s v="באר שבע, כלניות"/>
    <x v="2"/>
    <d v="2016-06-27T00:00:00"/>
    <x v="1"/>
    <n v="6"/>
    <s v="בש/256/2015"/>
    <x v="1"/>
    <n v="1"/>
    <m/>
    <n v="58000"/>
  </r>
  <r>
    <x v="287"/>
    <n v="468492"/>
    <x v="1"/>
    <s v="  "/>
    <n v="1130"/>
    <s v="באר שבע, כלניות"/>
    <x v="2"/>
    <d v="2016-06-27T00:00:00"/>
    <x v="1"/>
    <n v="6"/>
    <s v="בש/256/2015"/>
    <x v="1"/>
    <n v="1"/>
    <m/>
    <n v="58126"/>
  </r>
  <r>
    <x v="288"/>
    <n v="550338"/>
    <x v="1"/>
    <s v="  "/>
    <n v="25"/>
    <s v="באר שבע, כלניות"/>
    <x v="2"/>
    <d v="2016-06-27T00:00:00"/>
    <x v="1"/>
    <n v="6"/>
    <s v="בש/256/2015"/>
    <x v="1"/>
    <n v="1"/>
    <m/>
    <n v="58200"/>
  </r>
  <r>
    <x v="289"/>
    <n v="654562"/>
    <x v="1"/>
    <s v="  "/>
    <n v="1604"/>
    <s v="באר שבע, כלניות"/>
    <x v="2"/>
    <d v="2016-06-27T00:00:00"/>
    <x v="1"/>
    <n v="6"/>
    <s v="בש/256/2015"/>
    <x v="1"/>
    <n v="1"/>
    <m/>
    <n v="58261"/>
  </r>
  <r>
    <x v="290"/>
    <n v="488377"/>
    <x v="1"/>
    <s v="  "/>
    <n v="10"/>
    <s v="באר שבע, כלניות"/>
    <x v="2"/>
    <d v="2015-08-30T00:00:00"/>
    <x v="3"/>
    <n v="8"/>
    <s v="בש/407/2014"/>
    <x v="1"/>
    <n v="1"/>
    <m/>
    <n v="58800"/>
  </r>
  <r>
    <x v="291"/>
    <n v="541227"/>
    <x v="1"/>
    <s v="  "/>
    <n v="1099"/>
    <s v="באר שבע, כלניות"/>
    <x v="2"/>
    <d v="2016-06-27T00:00:00"/>
    <x v="1"/>
    <n v="6"/>
    <s v="בש/256/2015"/>
    <x v="1"/>
    <n v="1"/>
    <m/>
    <n v="59105"/>
  </r>
  <r>
    <x v="292"/>
    <n v="470201"/>
    <x v="1"/>
    <s v="  "/>
    <n v="1168"/>
    <s v="באר שבע, כלניות"/>
    <x v="2"/>
    <d v="2016-06-27T00:00:00"/>
    <x v="1"/>
    <n v="6"/>
    <s v="בש/256/2015"/>
    <x v="1"/>
    <n v="1"/>
    <m/>
    <n v="59324"/>
  </r>
  <r>
    <x v="293"/>
    <n v="530975"/>
    <x v="1"/>
    <s v="  "/>
    <n v="1119"/>
    <s v="באר שבע, כלניות"/>
    <x v="2"/>
    <d v="2016-06-27T00:00:00"/>
    <x v="1"/>
    <n v="6"/>
    <s v="בש/256/2015"/>
    <x v="1"/>
    <n v="1"/>
    <m/>
    <n v="59818"/>
  </r>
  <r>
    <x v="294"/>
    <n v="468492"/>
    <x v="1"/>
    <s v="  "/>
    <n v="1148"/>
    <s v="באר שבע, כלניות"/>
    <x v="2"/>
    <d v="2016-06-27T00:00:00"/>
    <x v="1"/>
    <n v="6"/>
    <s v="בש/256/2015"/>
    <x v="1"/>
    <n v="1"/>
    <m/>
    <n v="60000"/>
  </r>
  <r>
    <x v="294"/>
    <n v="470201"/>
    <x v="1"/>
    <s v="  "/>
    <n v="1177"/>
    <s v="באר שבע, כלניות"/>
    <x v="2"/>
    <d v="2016-06-27T00:00:00"/>
    <x v="1"/>
    <n v="6"/>
    <s v="בש/256/2015"/>
    <x v="1"/>
    <n v="1"/>
    <m/>
    <n v="60000"/>
  </r>
  <r>
    <x v="294"/>
    <n v="484413"/>
    <x v="1"/>
    <s v="  "/>
    <n v="2"/>
    <s v="באר שבע, כלניות"/>
    <x v="2"/>
    <d v="2015-08-30T00:00:00"/>
    <x v="3"/>
    <n v="8"/>
    <s v="בש/407/2014"/>
    <x v="1"/>
    <n v="1"/>
    <m/>
    <n v="60000"/>
  </r>
  <r>
    <x v="294"/>
    <n v="486394"/>
    <x v="1"/>
    <s v="  "/>
    <n v="498"/>
    <s v="באר שבע, כלניות"/>
    <x v="2"/>
    <d v="2015-08-30T00:00:00"/>
    <x v="3"/>
    <n v="8"/>
    <s v="בש/407/2014"/>
    <x v="1"/>
    <n v="1"/>
    <m/>
    <n v="60000"/>
  </r>
  <r>
    <x v="294"/>
    <n v="524710"/>
    <x v="1"/>
    <s v="  "/>
    <n v="1437"/>
    <s v="באר שבע, כלניות"/>
    <x v="2"/>
    <d v="2016-06-27T00:00:00"/>
    <x v="1"/>
    <n v="6"/>
    <s v="בש/256/2015"/>
    <x v="1"/>
    <n v="1"/>
    <m/>
    <n v="60000"/>
  </r>
  <r>
    <x v="294"/>
    <n v="527349"/>
    <x v="1"/>
    <s v="  "/>
    <n v="663"/>
    <s v="באר שבע, כלניות"/>
    <x v="2"/>
    <d v="2015-08-30T00:00:00"/>
    <x v="3"/>
    <n v="8"/>
    <s v="בש/407/2014"/>
    <x v="1"/>
    <n v="1"/>
    <m/>
    <n v="60000"/>
  </r>
  <r>
    <x v="294"/>
    <n v="548630"/>
    <x v="1"/>
    <s v="  "/>
    <n v="1018"/>
    <s v="באר שבע, כלניות"/>
    <x v="2"/>
    <d v="2016-06-27T00:00:00"/>
    <x v="1"/>
    <n v="6"/>
    <s v="בש/256/2015"/>
    <x v="1"/>
    <n v="1"/>
    <m/>
    <n v="60000"/>
  </r>
  <r>
    <x v="294"/>
    <n v="561729"/>
    <x v="1"/>
    <s v="  "/>
    <n v="66"/>
    <s v="באר שבע, כלניות"/>
    <x v="2"/>
    <d v="2016-06-27T00:00:00"/>
    <x v="1"/>
    <n v="6"/>
    <s v="בש/256/2015"/>
    <x v="1"/>
    <n v="1"/>
    <m/>
    <n v="60000"/>
  </r>
  <r>
    <x v="294"/>
    <n v="574828"/>
    <x v="1"/>
    <s v="  "/>
    <n v="1454"/>
    <s v="באר שבע, כלניות"/>
    <x v="2"/>
    <d v="2016-06-27T00:00:00"/>
    <x v="1"/>
    <n v="6"/>
    <s v="בש/256/2015"/>
    <x v="1"/>
    <n v="1"/>
    <m/>
    <n v="60000"/>
  </r>
  <r>
    <x v="295"/>
    <n v="470201"/>
    <x v="1"/>
    <s v="  "/>
    <n v="1166"/>
    <s v="באר שבע, כלניות"/>
    <x v="2"/>
    <d v="2016-06-27T00:00:00"/>
    <x v="1"/>
    <n v="6"/>
    <s v="בש/256/2015"/>
    <x v="1"/>
    <n v="1"/>
    <m/>
    <n v="60018"/>
  </r>
  <r>
    <x v="295"/>
    <n v="561729"/>
    <x v="1"/>
    <s v="  "/>
    <n v="15"/>
    <s v="באר שבע, כלניות"/>
    <x v="2"/>
    <d v="2016-06-27T00:00:00"/>
    <x v="1"/>
    <n v="6"/>
    <s v="בש/256/2015"/>
    <x v="1"/>
    <n v="1"/>
    <m/>
    <n v="60018"/>
  </r>
  <r>
    <x v="296"/>
    <n v="560021"/>
    <x v="1"/>
    <s v="  "/>
    <n v="1007"/>
    <s v="באר שבע, כלניות"/>
    <x v="2"/>
    <d v="2016-06-27T00:00:00"/>
    <x v="1"/>
    <n v="6"/>
    <s v="בש/256/2015"/>
    <x v="1"/>
    <n v="1"/>
    <m/>
    <n v="60060"/>
  </r>
  <r>
    <x v="296"/>
    <n v="573689"/>
    <x v="1"/>
    <s v="  "/>
    <n v="1502"/>
    <s v="באר שבע, כלניות"/>
    <x v="2"/>
    <d v="2016-06-27T00:00:00"/>
    <x v="1"/>
    <n v="6"/>
    <s v="בש/256/2015"/>
    <x v="1"/>
    <n v="1"/>
    <m/>
    <n v="60060"/>
  </r>
  <r>
    <x v="297"/>
    <n v="543504"/>
    <x v="1"/>
    <s v="  "/>
    <n v="1081"/>
    <s v="באר שבע, כלניות"/>
    <x v="2"/>
    <d v="2016-06-27T00:00:00"/>
    <x v="1"/>
    <n v="6"/>
    <s v="בש/256/2015"/>
    <x v="1"/>
    <n v="1"/>
    <m/>
    <n v="60100"/>
  </r>
  <r>
    <x v="298"/>
    <n v="476482"/>
    <x v="1"/>
    <s v="  "/>
    <n v="399"/>
    <s v="באר שבע, כלניות"/>
    <x v="2"/>
    <d v="2015-08-30T00:00:00"/>
    <x v="3"/>
    <n v="8"/>
    <s v="בש/407/2014"/>
    <x v="1"/>
    <n v="1"/>
    <m/>
    <n v="60600"/>
  </r>
  <r>
    <x v="298"/>
    <n v="559450"/>
    <x v="1"/>
    <s v="  "/>
    <n v="1475"/>
    <s v="באר שבע, כלניות"/>
    <x v="2"/>
    <d v="2016-06-27T00:00:00"/>
    <x v="1"/>
    <n v="6"/>
    <s v="בש/256/2015"/>
    <x v="1"/>
    <n v="1"/>
    <m/>
    <n v="60600"/>
  </r>
  <r>
    <x v="299"/>
    <n v="475987"/>
    <x v="1"/>
    <s v="  "/>
    <n v="221"/>
    <s v="באר שבע, כלניות"/>
    <x v="2"/>
    <d v="2015-08-30T00:00:00"/>
    <x v="3"/>
    <n v="8"/>
    <s v="בש/407/2014"/>
    <x v="1"/>
    <n v="1"/>
    <m/>
    <n v="60768"/>
  </r>
  <r>
    <x v="300"/>
    <n v="485899"/>
    <x v="1"/>
    <s v="  "/>
    <n v="374"/>
    <s v="באר שבע, כלניות"/>
    <x v="2"/>
    <d v="2015-08-30T00:00:00"/>
    <x v="3"/>
    <n v="8"/>
    <s v="בש/407/2014"/>
    <x v="1"/>
    <n v="1"/>
    <m/>
    <n v="60800"/>
  </r>
  <r>
    <x v="301"/>
    <n v="541796"/>
    <x v="1"/>
    <s v="  "/>
    <n v="1100"/>
    <s v="באר שבע, כלניות"/>
    <x v="2"/>
    <d v="2016-06-27T00:00:00"/>
    <x v="1"/>
    <n v="6"/>
    <s v="בש/256/2015"/>
    <x v="1"/>
    <n v="1"/>
    <m/>
    <n v="61000"/>
  </r>
  <r>
    <x v="301"/>
    <n v="636906"/>
    <x v="1"/>
    <s v="  "/>
    <n v="1189"/>
    <s v="באר שבע, כלניות"/>
    <x v="2"/>
    <d v="2016-06-27T00:00:00"/>
    <x v="1"/>
    <n v="6"/>
    <s v="בש/256/2015"/>
    <x v="1"/>
    <n v="1"/>
    <m/>
    <n v="61000"/>
  </r>
  <r>
    <x v="302"/>
    <n v="542364"/>
    <x v="1"/>
    <s v="  "/>
    <n v="1469"/>
    <s v="באר שבע, כלניות"/>
    <x v="2"/>
    <d v="2016-06-27T00:00:00"/>
    <x v="1"/>
    <n v="6"/>
    <s v="בש/256/2015"/>
    <x v="1"/>
    <n v="1"/>
    <m/>
    <n v="61025"/>
  </r>
  <r>
    <x v="303"/>
    <n v="671648"/>
    <x v="1"/>
    <s v="  "/>
    <n v="1605"/>
    <s v="באר שבע, כלניות"/>
    <x v="2"/>
    <d v="2016-06-27T00:00:00"/>
    <x v="1"/>
    <n v="6"/>
    <s v="בש/256/2015"/>
    <x v="1"/>
    <n v="1"/>
    <m/>
    <n v="61050"/>
  </r>
  <r>
    <x v="304"/>
    <n v="484413"/>
    <x v="1"/>
    <s v="  "/>
    <n v="14"/>
    <s v="באר שבע, כלניות"/>
    <x v="2"/>
    <d v="2015-08-30T00:00:00"/>
    <x v="3"/>
    <n v="8"/>
    <s v="בש/407/2014"/>
    <x v="1"/>
    <n v="1"/>
    <m/>
    <n v="61080"/>
  </r>
  <r>
    <x v="305"/>
    <n v="544074"/>
    <x v="1"/>
    <s v="  "/>
    <n v="1438"/>
    <s v="באר שבע, כלניות"/>
    <x v="2"/>
    <d v="2016-06-27T00:00:00"/>
    <x v="1"/>
    <n v="6"/>
    <s v="בש/256/2015"/>
    <x v="1"/>
    <n v="1"/>
    <m/>
    <n v="61100"/>
  </r>
  <r>
    <x v="306"/>
    <n v="519015"/>
    <x v="1"/>
    <s v="  "/>
    <n v="1412"/>
    <s v="באר שבע, כלניות"/>
    <x v="2"/>
    <d v="2016-06-27T00:00:00"/>
    <x v="1"/>
    <n v="6"/>
    <s v="בש/256/2015"/>
    <x v="1"/>
    <n v="1"/>
    <m/>
    <n v="61115"/>
  </r>
  <r>
    <x v="307"/>
    <n v="484413"/>
    <x v="1"/>
    <s v="  "/>
    <n v="472"/>
    <s v="באר שבע, כלניות"/>
    <x v="2"/>
    <d v="2015-08-30T00:00:00"/>
    <x v="3"/>
    <n v="8"/>
    <s v="בש/407/2014"/>
    <x v="1"/>
    <n v="1"/>
    <m/>
    <n v="61180"/>
  </r>
  <r>
    <x v="308"/>
    <n v="492837"/>
    <x v="1"/>
    <s v="  "/>
    <n v="345"/>
    <s v="באר שבע, כלניות"/>
    <x v="2"/>
    <d v="2015-08-30T00:00:00"/>
    <x v="3"/>
    <n v="8"/>
    <s v="בש/407/2014"/>
    <x v="1"/>
    <n v="1"/>
    <m/>
    <n v="61200"/>
  </r>
  <r>
    <x v="309"/>
    <n v="525279"/>
    <x v="1"/>
    <s v="  "/>
    <n v="1109"/>
    <s v="באר שבע, כלניות"/>
    <x v="2"/>
    <d v="2016-06-27T00:00:00"/>
    <x v="1"/>
    <n v="6"/>
    <s v="בש/256/2015"/>
    <x v="1"/>
    <n v="1"/>
    <m/>
    <n v="61222"/>
  </r>
  <r>
    <x v="310"/>
    <n v="566286"/>
    <x v="1"/>
    <s v="  "/>
    <n v="199"/>
    <s v="באר שבע, כלניות"/>
    <x v="2"/>
    <d v="2016-06-27T00:00:00"/>
    <x v="1"/>
    <n v="6"/>
    <s v="בש/256/2015"/>
    <x v="1"/>
    <n v="1"/>
    <m/>
    <n v="61280"/>
  </r>
  <r>
    <x v="311"/>
    <n v="490854"/>
    <x v="1"/>
    <s v="  "/>
    <n v="530"/>
    <s v="באר שבע, כלניות"/>
    <x v="2"/>
    <d v="2015-08-30T00:00:00"/>
    <x v="3"/>
    <n v="8"/>
    <s v="בש/407/2014"/>
    <x v="1"/>
    <n v="1"/>
    <m/>
    <n v="61300"/>
  </r>
  <r>
    <x v="312"/>
    <n v="478174"/>
    <x v="1"/>
    <s v="  "/>
    <n v="1199"/>
    <s v="באר שבע, כלניות"/>
    <x v="2"/>
    <d v="2016-06-27T00:00:00"/>
    <x v="1"/>
    <n v="6"/>
    <s v="בש/256/2015"/>
    <x v="1"/>
    <n v="1"/>
    <m/>
    <n v="61500"/>
  </r>
  <r>
    <x v="312"/>
    <n v="478174"/>
    <x v="1"/>
    <s v="  "/>
    <n v="1368"/>
    <s v="באר שבע, כלניות"/>
    <x v="2"/>
    <d v="2016-06-27T00:00:00"/>
    <x v="1"/>
    <n v="6"/>
    <s v="בש/256/2015"/>
    <x v="1"/>
    <n v="1"/>
    <m/>
    <n v="61500"/>
  </r>
  <r>
    <x v="312"/>
    <n v="544074"/>
    <x v="1"/>
    <s v="  "/>
    <n v="1043"/>
    <s v="באר שבע, כלניות"/>
    <x v="2"/>
    <d v="2016-06-27T00:00:00"/>
    <x v="1"/>
    <n v="6"/>
    <s v="בש/256/2015"/>
    <x v="1"/>
    <n v="1"/>
    <m/>
    <n v="61500"/>
  </r>
  <r>
    <x v="313"/>
    <n v="540656"/>
    <x v="1"/>
    <s v="  "/>
    <n v="1349"/>
    <s v="באר שבע, כלניות"/>
    <x v="2"/>
    <d v="2016-06-27T00:00:00"/>
    <x v="1"/>
    <n v="6"/>
    <s v="בש/256/2015"/>
    <x v="1"/>
    <n v="1"/>
    <m/>
    <n v="61700"/>
  </r>
  <r>
    <x v="314"/>
    <n v="514458"/>
    <x v="1"/>
    <s v="  "/>
    <n v="1552"/>
    <s v="באר שבע, כלניות"/>
    <x v="2"/>
    <d v="2016-06-27T00:00:00"/>
    <x v="1"/>
    <n v="6"/>
    <s v="בש/256/2015"/>
    <x v="1"/>
    <n v="1"/>
    <m/>
    <n v="61999"/>
  </r>
  <r>
    <x v="315"/>
    <n v="553187"/>
    <x v="1"/>
    <s v="  "/>
    <n v="1036"/>
    <s v="באר שבע, כלניות"/>
    <x v="2"/>
    <d v="2016-06-27T00:00:00"/>
    <x v="1"/>
    <n v="6"/>
    <s v="בש/256/2015"/>
    <x v="1"/>
    <n v="1"/>
    <m/>
    <n v="62100"/>
  </r>
  <r>
    <x v="316"/>
    <n v="514458"/>
    <x v="1"/>
    <s v="  "/>
    <n v="1259"/>
    <s v="באר שבע, כלניות"/>
    <x v="2"/>
    <d v="2016-06-27T00:00:00"/>
    <x v="1"/>
    <n v="6"/>
    <s v="בש/256/2015"/>
    <x v="1"/>
    <n v="1"/>
    <m/>
    <n v="62229"/>
  </r>
  <r>
    <x v="317"/>
    <n v="544643"/>
    <x v="1"/>
    <s v="  "/>
    <n v="1052"/>
    <s v="באר שבע, כלניות"/>
    <x v="2"/>
    <d v="2016-06-27T00:00:00"/>
    <x v="1"/>
    <n v="6"/>
    <s v="בש/256/2015"/>
    <x v="1"/>
    <n v="1"/>
    <m/>
    <n v="62698"/>
  </r>
  <r>
    <x v="318"/>
    <n v="541796"/>
    <x v="1"/>
    <s v="  "/>
    <n v="1579"/>
    <s v="באר שבע, כלניות"/>
    <x v="2"/>
    <d v="2016-06-27T00:00:00"/>
    <x v="1"/>
    <n v="6"/>
    <s v="בש/256/2015"/>
    <x v="1"/>
    <n v="1"/>
    <m/>
    <n v="63119"/>
  </r>
  <r>
    <x v="319"/>
    <n v="485899"/>
    <x v="1"/>
    <s v="  "/>
    <n v="512"/>
    <s v="באר שבע, כלניות"/>
    <x v="2"/>
    <d v="2015-08-30T00:00:00"/>
    <x v="3"/>
    <n v="8"/>
    <s v="בש/407/2014"/>
    <x v="1"/>
    <n v="1"/>
    <m/>
    <n v="63333"/>
  </r>
  <r>
    <x v="320"/>
    <n v="468492"/>
    <x v="1"/>
    <s v="  "/>
    <n v="1153"/>
    <s v="באר שבע, כלניות"/>
    <x v="2"/>
    <d v="2016-06-27T00:00:00"/>
    <x v="1"/>
    <n v="6"/>
    <s v="בש/256/2015"/>
    <x v="1"/>
    <n v="1"/>
    <m/>
    <n v="63545"/>
  </r>
  <r>
    <x v="321"/>
    <n v="563437"/>
    <x v="1"/>
    <s v="  "/>
    <n v="1065"/>
    <s v="באר שבע, כלניות"/>
    <x v="2"/>
    <d v="2016-06-27T00:00:00"/>
    <x v="1"/>
    <n v="6"/>
    <s v="בש/256/2015"/>
    <x v="1"/>
    <n v="1"/>
    <m/>
    <n v="63613"/>
  </r>
  <r>
    <x v="322"/>
    <n v="486394"/>
    <x v="1"/>
    <s v="  "/>
    <n v="152"/>
    <s v="באר שבע, כלניות"/>
    <x v="2"/>
    <d v="2015-08-30T00:00:00"/>
    <x v="3"/>
    <n v="8"/>
    <s v="בש/407/2014"/>
    <x v="1"/>
    <n v="1"/>
    <m/>
    <n v="63770"/>
  </r>
  <r>
    <x v="323"/>
    <n v="492837"/>
    <x v="1"/>
    <s v="  "/>
    <n v="22"/>
    <s v="באר שבע, כלניות"/>
    <x v="2"/>
    <d v="2015-08-30T00:00:00"/>
    <x v="3"/>
    <n v="8"/>
    <s v="בש/407/2014"/>
    <x v="1"/>
    <n v="1"/>
    <m/>
    <n v="64150"/>
  </r>
  <r>
    <x v="324"/>
    <n v="542935"/>
    <x v="1"/>
    <s v="  "/>
    <n v="1219"/>
    <s v="באר שבע, כלניות"/>
    <x v="2"/>
    <d v="2016-06-27T00:00:00"/>
    <x v="1"/>
    <n v="6"/>
    <s v="בש/256/2015"/>
    <x v="1"/>
    <n v="1"/>
    <m/>
    <n v="64160"/>
  </r>
  <r>
    <x v="324"/>
    <n v="542935"/>
    <x v="1"/>
    <s v="  "/>
    <n v="1220"/>
    <s v="באר שבע, כלניות"/>
    <x v="2"/>
    <d v="2016-06-27T00:00:00"/>
    <x v="1"/>
    <n v="6"/>
    <s v="בש/256/2015"/>
    <x v="1"/>
    <n v="1"/>
    <m/>
    <n v="64160"/>
  </r>
  <r>
    <x v="325"/>
    <n v="573689"/>
    <x v="1"/>
    <s v="  "/>
    <n v="1078"/>
    <s v="באר שבע, כלניות"/>
    <x v="2"/>
    <d v="2016-06-27T00:00:00"/>
    <x v="1"/>
    <n v="6"/>
    <s v="בש/256/2015"/>
    <x v="1"/>
    <n v="1"/>
    <m/>
    <n v="64668"/>
  </r>
  <r>
    <x v="326"/>
    <n v="480447"/>
    <x v="1"/>
    <s v="  "/>
    <n v="180"/>
    <s v="באר שבע, כלניות"/>
    <x v="2"/>
    <d v="2015-08-30T00:00:00"/>
    <x v="3"/>
    <n v="8"/>
    <s v="בש/407/2014"/>
    <x v="1"/>
    <n v="1"/>
    <m/>
    <n v="64875"/>
  </r>
  <r>
    <x v="327"/>
    <n v="573689"/>
    <x v="1"/>
    <s v="  "/>
    <n v="1070"/>
    <s v="באר שבע, כלניות"/>
    <x v="2"/>
    <d v="2016-06-27T00:00:00"/>
    <x v="1"/>
    <n v="6"/>
    <s v="בש/256/2015"/>
    <x v="1"/>
    <n v="1"/>
    <m/>
    <n v="65000"/>
  </r>
  <r>
    <x v="328"/>
    <n v="537239"/>
    <x v="1"/>
    <s v="  "/>
    <n v="1090"/>
    <s v="באר שבע, כלניות"/>
    <x v="2"/>
    <d v="2016-06-27T00:00:00"/>
    <x v="1"/>
    <n v="6"/>
    <s v="בש/256/2015"/>
    <x v="1"/>
    <n v="1"/>
    <m/>
    <n v="65018"/>
  </r>
  <r>
    <x v="329"/>
    <n v="536101"/>
    <x v="1"/>
    <s v="  "/>
    <n v="1334"/>
    <s v="באר שבע, כלניות"/>
    <x v="2"/>
    <d v="2016-06-27T00:00:00"/>
    <x v="1"/>
    <n v="6"/>
    <s v="בש/256/2015"/>
    <x v="1"/>
    <n v="1"/>
    <m/>
    <n v="65150"/>
  </r>
  <r>
    <x v="330"/>
    <n v="568563"/>
    <x v="1"/>
    <s v="  "/>
    <n v="1346"/>
    <s v="באר שבע, כלניות"/>
    <x v="2"/>
    <d v="2016-06-27T00:00:00"/>
    <x v="1"/>
    <n v="6"/>
    <s v="בש/256/2015"/>
    <x v="1"/>
    <n v="1"/>
    <m/>
    <n v="65222"/>
  </r>
  <r>
    <x v="331"/>
    <n v="526358"/>
    <x v="1"/>
    <s v="  "/>
    <n v="665"/>
    <s v="באר שבע, כלניות"/>
    <x v="2"/>
    <d v="2015-08-30T00:00:00"/>
    <x v="3"/>
    <n v="8"/>
    <s v="בש/407/2014"/>
    <x v="1"/>
    <n v="1"/>
    <m/>
    <n v="65300"/>
  </r>
  <r>
    <x v="332"/>
    <n v="486890"/>
    <x v="1"/>
    <s v="  "/>
    <n v="348"/>
    <s v="באר שבע, כלניות"/>
    <x v="2"/>
    <d v="2015-08-30T00:00:00"/>
    <x v="3"/>
    <n v="8"/>
    <s v="בש/407/2014"/>
    <x v="1"/>
    <n v="1"/>
    <m/>
    <n v="65347"/>
  </r>
  <r>
    <x v="333"/>
    <n v="578246"/>
    <x v="1"/>
    <s v="  "/>
    <n v="1482"/>
    <s v="באר שבע, כלניות"/>
    <x v="2"/>
    <d v="2016-06-27T00:00:00"/>
    <x v="1"/>
    <n v="6"/>
    <s v="בש/256/2015"/>
    <x v="1"/>
    <n v="1"/>
    <m/>
    <n v="65431"/>
  </r>
  <r>
    <x v="334"/>
    <n v="492837"/>
    <x v="1"/>
    <s v="  "/>
    <n v="297"/>
    <s v="באר שבע, כלניות"/>
    <x v="2"/>
    <d v="2015-08-30T00:00:00"/>
    <x v="3"/>
    <n v="8"/>
    <s v="בש/407/2014"/>
    <x v="1"/>
    <n v="1"/>
    <m/>
    <n v="65500"/>
  </r>
  <r>
    <x v="335"/>
    <n v="492342"/>
    <x v="1"/>
    <s v="  "/>
    <n v="340"/>
    <s v="באר שבע, כלניות"/>
    <x v="2"/>
    <d v="2015-08-30T00:00:00"/>
    <x v="3"/>
    <n v="8"/>
    <s v="בש/407/2014"/>
    <x v="1"/>
    <n v="1"/>
    <m/>
    <n v="66000"/>
  </r>
  <r>
    <x v="336"/>
    <n v="548630"/>
    <x v="1"/>
    <s v="  "/>
    <n v="1251"/>
    <s v="באר שבע, כלניות"/>
    <x v="2"/>
    <d v="2016-06-27T00:00:00"/>
    <x v="1"/>
    <n v="6"/>
    <s v="בש/256/2015"/>
    <x v="1"/>
    <n v="1"/>
    <m/>
    <n v="66101"/>
  </r>
  <r>
    <x v="337"/>
    <n v="481934"/>
    <x v="1"/>
    <s v="  "/>
    <n v="61"/>
    <s v="באר שבע, כלניות"/>
    <x v="2"/>
    <d v="2015-08-30T00:00:00"/>
    <x v="3"/>
    <n v="8"/>
    <s v="בש/407/2014"/>
    <x v="1"/>
    <n v="1"/>
    <m/>
    <n v="66102"/>
  </r>
  <r>
    <x v="338"/>
    <n v="488377"/>
    <x v="1"/>
    <s v="  "/>
    <n v="5"/>
    <s v="באר שבע, כלניות"/>
    <x v="2"/>
    <d v="2015-08-30T00:00:00"/>
    <x v="3"/>
    <n v="8"/>
    <s v="בש/407/2014"/>
    <x v="1"/>
    <n v="1"/>
    <m/>
    <n v="66300"/>
  </r>
  <r>
    <x v="339"/>
    <n v="489368"/>
    <x v="1"/>
    <s v="  "/>
    <n v="202"/>
    <s v="באר שבע, כלניות"/>
    <x v="2"/>
    <d v="2015-08-30T00:00:00"/>
    <x v="3"/>
    <n v="8"/>
    <s v="בש/407/2014"/>
    <x v="1"/>
    <n v="1"/>
    <m/>
    <n v="66555"/>
  </r>
  <r>
    <x v="339"/>
    <n v="489368"/>
    <x v="1"/>
    <s v="  "/>
    <n v="203"/>
    <s v="באר שבע, כלניות"/>
    <x v="2"/>
    <d v="2015-08-30T00:00:00"/>
    <x v="3"/>
    <n v="8"/>
    <s v="בש/407/2014"/>
    <x v="1"/>
    <n v="1"/>
    <m/>
    <n v="66555"/>
  </r>
  <r>
    <x v="340"/>
    <n v="470201"/>
    <x v="1"/>
    <s v="  "/>
    <n v="1173"/>
    <s v="באר שבע, כלניות"/>
    <x v="2"/>
    <d v="2016-06-27T00:00:00"/>
    <x v="1"/>
    <n v="6"/>
    <s v="בש/256/2015"/>
    <x v="1"/>
    <n v="1"/>
    <m/>
    <n v="66592"/>
  </r>
  <r>
    <x v="340"/>
    <n v="470201"/>
    <x v="1"/>
    <s v="  "/>
    <n v="1174"/>
    <s v="באר שבע, כלניות"/>
    <x v="2"/>
    <d v="2016-06-27T00:00:00"/>
    <x v="1"/>
    <n v="6"/>
    <s v="בש/256/2015"/>
    <x v="1"/>
    <n v="1"/>
    <m/>
    <n v="66592"/>
  </r>
  <r>
    <x v="341"/>
    <n v="488377"/>
    <x v="1"/>
    <s v="  "/>
    <n v="231"/>
    <s v="באר שבע, כלניות"/>
    <x v="2"/>
    <d v="2015-08-30T00:00:00"/>
    <x v="3"/>
    <n v="8"/>
    <s v="בש/407/2014"/>
    <x v="1"/>
    <n v="1"/>
    <m/>
    <n v="66620"/>
  </r>
  <r>
    <x v="342"/>
    <n v="486147"/>
    <x v="1"/>
    <s v="  "/>
    <n v="1439"/>
    <s v="באר שבע, כלניות"/>
    <x v="2"/>
    <d v="2016-06-27T00:00:00"/>
    <x v="1"/>
    <n v="6"/>
    <s v="בש/256/2015"/>
    <x v="1"/>
    <n v="1"/>
    <m/>
    <n v="66666"/>
  </r>
  <r>
    <x v="343"/>
    <n v="538948"/>
    <x v="1"/>
    <s v="  "/>
    <n v="1089"/>
    <s v="באר שבע, כלניות"/>
    <x v="2"/>
    <d v="2016-06-27T00:00:00"/>
    <x v="1"/>
    <n v="6"/>
    <s v="בש/256/2015"/>
    <x v="1"/>
    <n v="1"/>
    <m/>
    <n v="66689"/>
  </r>
  <r>
    <x v="344"/>
    <n v="483300"/>
    <x v="1"/>
    <s v="  "/>
    <n v="1589"/>
    <s v="באר שבע, כלניות"/>
    <x v="2"/>
    <d v="2016-06-27T00:00:00"/>
    <x v="1"/>
    <n v="6"/>
    <s v="בש/256/2015"/>
    <x v="1"/>
    <n v="1"/>
    <m/>
    <n v="66700"/>
  </r>
  <r>
    <x v="345"/>
    <n v="491350"/>
    <x v="1"/>
    <s v="  "/>
    <n v="295"/>
    <s v="באר שבע, כלניות"/>
    <x v="2"/>
    <d v="2015-08-30T00:00:00"/>
    <x v="3"/>
    <n v="8"/>
    <s v="בש/407/2014"/>
    <x v="1"/>
    <n v="1"/>
    <m/>
    <n v="66701"/>
  </r>
  <r>
    <x v="346"/>
    <n v="536101"/>
    <x v="1"/>
    <s v="  "/>
    <n v="1087"/>
    <s v="באר שבע, כלניות"/>
    <x v="2"/>
    <d v="2016-06-27T00:00:00"/>
    <x v="1"/>
    <n v="6"/>
    <s v="בש/256/2015"/>
    <x v="1"/>
    <n v="1"/>
    <m/>
    <n v="66797"/>
  </r>
  <r>
    <x v="347"/>
    <n v="621832"/>
    <x v="1"/>
    <s v="  "/>
    <n v="1387"/>
    <s v="באר שבע, כלניות"/>
    <x v="2"/>
    <d v="2016-06-27T00:00:00"/>
    <x v="1"/>
    <n v="6"/>
    <s v="בש/256/2015"/>
    <x v="1"/>
    <n v="1"/>
    <m/>
    <n v="66820"/>
  </r>
  <r>
    <x v="348"/>
    <n v="542935"/>
    <x v="1"/>
    <s v="  "/>
    <n v="1221"/>
    <s v="באר שבע, כלניות"/>
    <x v="2"/>
    <d v="2016-06-27T00:00:00"/>
    <x v="1"/>
    <n v="6"/>
    <s v="בש/256/2015"/>
    <x v="1"/>
    <n v="1"/>
    <m/>
    <n v="67192"/>
  </r>
  <r>
    <x v="349"/>
    <n v="545213"/>
    <x v="1"/>
    <s v="  "/>
    <n v="1213"/>
    <s v="באר שבע, כלניות"/>
    <x v="2"/>
    <d v="2016-06-27T00:00:00"/>
    <x v="1"/>
    <n v="6"/>
    <s v="בש/256/2015"/>
    <x v="1"/>
    <n v="1"/>
    <m/>
    <n v="67199"/>
  </r>
  <r>
    <x v="350"/>
    <n v="482731"/>
    <x v="1"/>
    <s v="  "/>
    <n v="1590"/>
    <s v="באר שבע, כלניות"/>
    <x v="2"/>
    <d v="2016-06-27T00:00:00"/>
    <x v="1"/>
    <n v="6"/>
    <s v="בש/256/2015"/>
    <x v="1"/>
    <n v="1"/>
    <m/>
    <n v="67269"/>
  </r>
  <r>
    <x v="351"/>
    <n v="486394"/>
    <x v="1"/>
    <s v="  "/>
    <n v="478"/>
    <s v="באר שבע, כלניות"/>
    <x v="2"/>
    <d v="2015-08-30T00:00:00"/>
    <x v="3"/>
    <n v="8"/>
    <s v="בש/407/2014"/>
    <x v="1"/>
    <n v="1"/>
    <m/>
    <n v="67392"/>
  </r>
  <r>
    <x v="352"/>
    <n v="546921"/>
    <x v="1"/>
    <s v="  "/>
    <n v="1472"/>
    <s v="באר שבע, כלניות"/>
    <x v="2"/>
    <d v="2016-06-27T00:00:00"/>
    <x v="1"/>
    <n v="6"/>
    <s v="בש/256/2015"/>
    <x v="1"/>
    <n v="1"/>
    <m/>
    <n v="67553"/>
  </r>
  <r>
    <x v="352"/>
    <n v="565715"/>
    <x v="1"/>
    <s v="  "/>
    <n v="1504"/>
    <s v="באר שבע, כלניות"/>
    <x v="2"/>
    <d v="2016-06-27T00:00:00"/>
    <x v="1"/>
    <n v="6"/>
    <s v="בש/256/2015"/>
    <x v="1"/>
    <n v="1"/>
    <m/>
    <n v="67553"/>
  </r>
  <r>
    <x v="353"/>
    <n v="543504"/>
    <x v="1"/>
    <s v="  "/>
    <n v="1293"/>
    <s v="באר שבע, כלניות"/>
    <x v="2"/>
    <d v="2016-06-27T00:00:00"/>
    <x v="1"/>
    <n v="6"/>
    <s v="בש/256/2015"/>
    <x v="1"/>
    <n v="1"/>
    <m/>
    <n v="67748"/>
  </r>
  <r>
    <x v="354"/>
    <n v="522573"/>
    <x v="1"/>
    <s v="  "/>
    <n v="84"/>
    <s v="באר שבע, כלניות"/>
    <x v="2"/>
    <d v="2015-08-30T00:00:00"/>
    <x v="3"/>
    <n v="8"/>
    <s v="בש/407/2014"/>
    <x v="1"/>
    <n v="1"/>
    <m/>
    <n v="68000"/>
  </r>
  <r>
    <x v="355"/>
    <n v="595331"/>
    <x v="1"/>
    <s v="  "/>
    <n v="364"/>
    <s v="באר שבע, כלניות"/>
    <x v="2"/>
    <d v="2016-06-27T00:00:00"/>
    <x v="1"/>
    <n v="6"/>
    <s v="בש/256/2015"/>
    <x v="1"/>
    <n v="1"/>
    <m/>
    <n v="68456"/>
  </r>
  <r>
    <x v="356"/>
    <n v="480942"/>
    <x v="1"/>
    <s v="  "/>
    <n v="143"/>
    <s v="באר שבע, כלניות"/>
    <x v="2"/>
    <d v="2015-08-30T00:00:00"/>
    <x v="3"/>
    <n v="8"/>
    <s v="בש/407/2014"/>
    <x v="1"/>
    <n v="1"/>
    <m/>
    <n v="68888"/>
  </r>
  <r>
    <x v="357"/>
    <n v="546351"/>
    <x v="1"/>
    <s v="  "/>
    <n v="1232"/>
    <s v="באר שבע, כלניות"/>
    <x v="2"/>
    <d v="2016-06-27T00:00:00"/>
    <x v="1"/>
    <n v="6"/>
    <s v="בש/256/2015"/>
    <x v="1"/>
    <n v="1"/>
    <m/>
    <n v="69101"/>
  </r>
  <r>
    <x v="358"/>
    <n v="515455"/>
    <x v="1"/>
    <s v="  "/>
    <n v="648"/>
    <s v="באר שבע, כלניות"/>
    <x v="2"/>
    <d v="2015-08-30T00:00:00"/>
    <x v="3"/>
    <n v="8"/>
    <s v="בש/407/2014"/>
    <x v="1"/>
    <n v="1"/>
    <m/>
    <n v="69300"/>
  </r>
  <r>
    <x v="358"/>
    <n v="526358"/>
    <x v="1"/>
    <s v="  "/>
    <n v="667"/>
    <s v="באר שבע, כלניות"/>
    <x v="2"/>
    <d v="2015-08-30T00:00:00"/>
    <x v="3"/>
    <n v="8"/>
    <s v="בש/407/2014"/>
    <x v="1"/>
    <n v="1"/>
    <m/>
    <n v="69300"/>
  </r>
  <r>
    <x v="359"/>
    <n v="524375"/>
    <x v="1"/>
    <s v="  "/>
    <n v="671"/>
    <s v="באר שבע, כלניות"/>
    <x v="2"/>
    <d v="2015-08-30T00:00:00"/>
    <x v="3"/>
    <n v="8"/>
    <s v="בש/407/2014"/>
    <x v="1"/>
    <n v="1"/>
    <m/>
    <n v="69301"/>
  </r>
  <r>
    <x v="360"/>
    <n v="468492"/>
    <x v="1"/>
    <s v="  "/>
    <n v="1144"/>
    <s v="באר שבע, כלניות"/>
    <x v="2"/>
    <d v="2016-06-27T00:00:00"/>
    <x v="1"/>
    <n v="6"/>
    <s v="בש/256/2015"/>
    <x v="1"/>
    <n v="1"/>
    <m/>
    <n v="69665"/>
  </r>
  <r>
    <x v="361"/>
    <n v="455962"/>
    <x v="1"/>
    <s v="  "/>
    <n v="1194"/>
    <s v="באר שבע, כלניות"/>
    <x v="2"/>
    <d v="2016-06-27T00:00:00"/>
    <x v="1"/>
    <n v="6"/>
    <s v="בש/256/2015"/>
    <x v="1"/>
    <n v="1"/>
    <m/>
    <n v="70000"/>
  </r>
  <r>
    <x v="361"/>
    <n v="470201"/>
    <x v="1"/>
    <s v="  "/>
    <n v="1164"/>
    <s v="באר שבע, כלניות"/>
    <x v="2"/>
    <d v="2016-06-27T00:00:00"/>
    <x v="1"/>
    <n v="6"/>
    <s v="בש/256/2015"/>
    <x v="1"/>
    <n v="1"/>
    <m/>
    <n v="70000"/>
  </r>
  <r>
    <x v="361"/>
    <n v="475491"/>
    <x v="1"/>
    <s v="  "/>
    <n v="383"/>
    <s v="באר שבע, כלניות"/>
    <x v="2"/>
    <d v="2015-08-30T00:00:00"/>
    <x v="3"/>
    <n v="8"/>
    <s v="בש/407/2014"/>
    <x v="1"/>
    <n v="1"/>
    <m/>
    <n v="70000"/>
  </r>
  <r>
    <x v="361"/>
    <n v="479456"/>
    <x v="1"/>
    <s v="  "/>
    <n v="234"/>
    <s v="באר שבע, כלניות"/>
    <x v="2"/>
    <d v="2015-08-30T00:00:00"/>
    <x v="3"/>
    <n v="8"/>
    <s v="בש/407/2014"/>
    <x v="1"/>
    <n v="1"/>
    <m/>
    <n v="70000"/>
  </r>
  <r>
    <x v="361"/>
    <n v="486394"/>
    <x v="1"/>
    <s v="  "/>
    <n v="405"/>
    <s v="באר שבע, כלניות"/>
    <x v="2"/>
    <d v="2015-08-30T00:00:00"/>
    <x v="3"/>
    <n v="8"/>
    <s v="בש/407/2014"/>
    <x v="1"/>
    <n v="1"/>
    <m/>
    <n v="70000"/>
  </r>
  <r>
    <x v="361"/>
    <n v="486890"/>
    <x v="1"/>
    <s v="  "/>
    <n v="177"/>
    <s v="באר שבע, כלניות"/>
    <x v="2"/>
    <d v="2015-08-30T00:00:00"/>
    <x v="3"/>
    <n v="8"/>
    <s v="בש/407/2014"/>
    <x v="1"/>
    <n v="1"/>
    <m/>
    <n v="70000"/>
  </r>
  <r>
    <x v="361"/>
    <n v="490854"/>
    <x v="1"/>
    <s v="  "/>
    <n v="526"/>
    <s v="באר שבע, כלניות"/>
    <x v="2"/>
    <d v="2015-08-30T00:00:00"/>
    <x v="3"/>
    <n v="8"/>
    <s v="בש/407/2014"/>
    <x v="1"/>
    <n v="1"/>
    <m/>
    <n v="70000"/>
  </r>
  <r>
    <x v="361"/>
    <n v="541227"/>
    <x v="1"/>
    <s v="  "/>
    <n v="1113"/>
    <s v="באר שבע, כלניות"/>
    <x v="2"/>
    <d v="2016-06-27T00:00:00"/>
    <x v="1"/>
    <n v="6"/>
    <s v="בש/256/2015"/>
    <x v="1"/>
    <n v="1"/>
    <m/>
    <n v="70000"/>
  </r>
  <r>
    <x v="361"/>
    <n v="557173"/>
    <x v="1"/>
    <s v="  "/>
    <n v="1049"/>
    <s v="באר שבע, כלניות"/>
    <x v="2"/>
    <d v="2016-06-27T00:00:00"/>
    <x v="1"/>
    <n v="6"/>
    <s v="בש/256/2015"/>
    <x v="1"/>
    <n v="1"/>
    <m/>
    <n v="70000"/>
  </r>
  <r>
    <x v="361"/>
    <n v="565147"/>
    <x v="1"/>
    <s v="  "/>
    <n v="90"/>
    <s v="באר שבע, כלניות"/>
    <x v="2"/>
    <d v="2016-06-27T00:00:00"/>
    <x v="1"/>
    <n v="6"/>
    <s v="בש/256/2015"/>
    <x v="1"/>
    <n v="1"/>
    <m/>
    <n v="70000"/>
  </r>
  <r>
    <x v="362"/>
    <n v="470201"/>
    <x v="1"/>
    <s v="  "/>
    <n v="1176"/>
    <s v="באר שבע, כלניות"/>
    <x v="2"/>
    <d v="2016-06-27T00:00:00"/>
    <x v="1"/>
    <n v="6"/>
    <s v="בש/256/2015"/>
    <x v="1"/>
    <n v="1"/>
    <m/>
    <n v="70002"/>
  </r>
  <r>
    <x v="363"/>
    <n v="541796"/>
    <x v="1"/>
    <s v="  "/>
    <n v="1056"/>
    <s v="באר שבע, כלניות"/>
    <x v="2"/>
    <d v="2016-06-27T00:00:00"/>
    <x v="1"/>
    <n v="6"/>
    <s v="בש/256/2015"/>
    <x v="1"/>
    <n v="1"/>
    <m/>
    <n v="70100"/>
  </r>
  <r>
    <x v="363"/>
    <n v="544643"/>
    <x v="1"/>
    <s v="  "/>
    <n v="1463"/>
    <s v="באר שבע, כלניות"/>
    <x v="2"/>
    <d v="2016-06-27T00:00:00"/>
    <x v="1"/>
    <n v="6"/>
    <s v="בש/256/2015"/>
    <x v="1"/>
    <n v="1"/>
    <m/>
    <n v="70100"/>
  </r>
  <r>
    <x v="364"/>
    <n v="544074"/>
    <x v="1"/>
    <s v="  "/>
    <n v="1073"/>
    <s v="באר שבע, כלניות"/>
    <x v="2"/>
    <d v="2016-06-27T00:00:00"/>
    <x v="1"/>
    <n v="6"/>
    <s v="בש/256/2015"/>
    <x v="1"/>
    <n v="1"/>
    <m/>
    <n v="70200"/>
  </r>
  <r>
    <x v="365"/>
    <n v="493828"/>
    <x v="1"/>
    <s v="  "/>
    <n v="499"/>
    <s v="באר שבע, כלניות"/>
    <x v="2"/>
    <d v="2015-08-30T00:00:00"/>
    <x v="3"/>
    <n v="8"/>
    <s v="בש/407/2014"/>
    <x v="1"/>
    <n v="1"/>
    <m/>
    <n v="70355"/>
  </r>
  <r>
    <x v="366"/>
    <n v="468492"/>
    <x v="1"/>
    <s v="  "/>
    <n v="1403"/>
    <s v="באר שבע, כלניות"/>
    <x v="2"/>
    <d v="2016-06-27T00:00:00"/>
    <x v="1"/>
    <n v="6"/>
    <s v="בש/256/2015"/>
    <x v="1"/>
    <n v="1"/>
    <m/>
    <n v="70500"/>
  </r>
  <r>
    <x v="367"/>
    <n v="484908"/>
    <x v="1"/>
    <s v="  "/>
    <n v="481"/>
    <s v="באר שבע, כלניות"/>
    <x v="2"/>
    <d v="2015-08-30T00:00:00"/>
    <x v="3"/>
    <n v="8"/>
    <s v="בש/407/2014"/>
    <x v="1"/>
    <n v="1"/>
    <m/>
    <n v="70550"/>
  </r>
  <r>
    <x v="368"/>
    <n v="530975"/>
    <x v="1"/>
    <s v="  "/>
    <n v="1121"/>
    <s v="באר שבע, כלניות"/>
    <x v="2"/>
    <d v="2016-06-27T00:00:00"/>
    <x v="1"/>
    <n v="6"/>
    <s v="בש/256/2015"/>
    <x v="1"/>
    <n v="1"/>
    <m/>
    <n v="70555"/>
  </r>
  <r>
    <x v="369"/>
    <n v="556034"/>
    <x v="1"/>
    <s v="  "/>
    <n v="1283"/>
    <s v="באר שבע, כלניות"/>
    <x v="2"/>
    <d v="2016-06-27T00:00:00"/>
    <x v="1"/>
    <n v="6"/>
    <s v="בש/256/2015"/>
    <x v="1"/>
    <n v="1"/>
    <m/>
    <n v="70600"/>
  </r>
  <r>
    <x v="370"/>
    <n v="473508"/>
    <x v="1"/>
    <s v="  "/>
    <n v="181"/>
    <s v="באר שבע, כלניות"/>
    <x v="2"/>
    <d v="2015-08-30T00:00:00"/>
    <x v="3"/>
    <n v="8"/>
    <s v="בש/407/2014"/>
    <x v="1"/>
    <n v="1"/>
    <m/>
    <n v="70755"/>
  </r>
  <r>
    <x v="371"/>
    <n v="623540"/>
    <x v="1"/>
    <s v="  "/>
    <n v="1388"/>
    <s v="באר שבע, כלניות"/>
    <x v="2"/>
    <d v="2016-06-27T00:00:00"/>
    <x v="1"/>
    <n v="6"/>
    <s v="בש/256/2015"/>
    <x v="1"/>
    <n v="1"/>
    <m/>
    <n v="71000"/>
  </r>
  <r>
    <x v="372"/>
    <n v="546921"/>
    <x v="1"/>
    <s v="  "/>
    <n v="1072"/>
    <s v="באר שבע, כלניות"/>
    <x v="2"/>
    <d v="2016-06-27T00:00:00"/>
    <x v="1"/>
    <n v="6"/>
    <s v="בש/256/2015"/>
    <x v="1"/>
    <n v="1"/>
    <m/>
    <n v="71007"/>
  </r>
  <r>
    <x v="373"/>
    <n v="568563"/>
    <x v="1"/>
    <s v="  "/>
    <n v="1497"/>
    <s v="באר שבע, כלניות"/>
    <x v="2"/>
    <d v="2016-06-27T00:00:00"/>
    <x v="1"/>
    <n v="6"/>
    <s v="בש/256/2015"/>
    <x v="1"/>
    <n v="1"/>
    <m/>
    <n v="71018"/>
  </r>
  <r>
    <x v="374"/>
    <n v="562299"/>
    <x v="1"/>
    <s v="  "/>
    <n v="1060"/>
    <s v="באר שבע, כלניות"/>
    <x v="2"/>
    <d v="2016-06-27T00:00:00"/>
    <x v="1"/>
    <n v="6"/>
    <s v="בש/256/2015"/>
    <x v="1"/>
    <n v="1"/>
    <m/>
    <n v="71099"/>
  </r>
  <r>
    <x v="375"/>
    <n v="569133"/>
    <x v="1"/>
    <s v="  "/>
    <n v="1000"/>
    <s v="באר שבע, כלניות"/>
    <x v="2"/>
    <d v="2016-06-27T00:00:00"/>
    <x v="1"/>
    <n v="6"/>
    <s v="בש/256/2015"/>
    <x v="1"/>
    <n v="1"/>
    <m/>
    <n v="71300"/>
  </r>
  <r>
    <x v="376"/>
    <n v="524375"/>
    <x v="1"/>
    <s v="  "/>
    <n v="670"/>
    <s v="באר שבע, כלניות"/>
    <x v="2"/>
    <d v="2015-08-30T00:00:00"/>
    <x v="3"/>
    <n v="8"/>
    <s v="בש/407/2014"/>
    <x v="1"/>
    <n v="1"/>
    <m/>
    <n v="71380"/>
  </r>
  <r>
    <x v="377"/>
    <n v="558881"/>
    <x v="1"/>
    <s v="  "/>
    <n v="1062"/>
    <s v="באר שבע, כלניות"/>
    <x v="2"/>
    <d v="2016-06-27T00:00:00"/>
    <x v="1"/>
    <n v="6"/>
    <s v="בש/256/2015"/>
    <x v="1"/>
    <n v="1"/>
    <m/>
    <n v="71486"/>
  </r>
  <r>
    <x v="378"/>
    <n v="557742"/>
    <x v="1"/>
    <s v="  "/>
    <n v="1061"/>
    <s v="באר שבע, כלניות"/>
    <x v="2"/>
    <d v="2016-06-27T00:00:00"/>
    <x v="1"/>
    <n v="6"/>
    <s v="בש/256/2015"/>
    <x v="1"/>
    <n v="1"/>
    <m/>
    <n v="71488"/>
  </r>
  <r>
    <x v="379"/>
    <n v="478174"/>
    <x v="1"/>
    <s v="  "/>
    <n v="1362"/>
    <s v="באר שבע, כלניות"/>
    <x v="2"/>
    <d v="2016-06-27T00:00:00"/>
    <x v="1"/>
    <n v="6"/>
    <s v="בש/256/2015"/>
    <x v="1"/>
    <n v="1"/>
    <m/>
    <n v="71604"/>
  </r>
  <r>
    <x v="380"/>
    <n v="545782"/>
    <x v="1"/>
    <s v="  "/>
    <n v="1211"/>
    <s v="באר שבע, כלניות"/>
    <x v="2"/>
    <d v="2016-06-27T00:00:00"/>
    <x v="1"/>
    <n v="6"/>
    <s v="בש/256/2015"/>
    <x v="1"/>
    <n v="1"/>
    <m/>
    <n v="71918"/>
  </r>
  <r>
    <x v="381"/>
    <n v="564007"/>
    <x v="1"/>
    <s v="  "/>
    <n v="1066"/>
    <s v="באר שבע, כלניות"/>
    <x v="2"/>
    <d v="2016-06-27T00:00:00"/>
    <x v="1"/>
    <n v="6"/>
    <s v="בש/256/2015"/>
    <x v="1"/>
    <n v="1"/>
    <m/>
    <n v="72000"/>
  </r>
  <r>
    <x v="382"/>
    <n v="470201"/>
    <x v="1"/>
    <s v="  "/>
    <n v="1165"/>
    <s v="באר שבע, כלניות"/>
    <x v="2"/>
    <d v="2016-06-27T00:00:00"/>
    <x v="1"/>
    <n v="6"/>
    <s v="בש/256/2015"/>
    <x v="1"/>
    <n v="1"/>
    <m/>
    <n v="72002"/>
  </r>
  <r>
    <x v="383"/>
    <n v="482430"/>
    <x v="1"/>
    <s v="  "/>
    <n v="281"/>
    <s v="באר שבע, כלניות"/>
    <x v="2"/>
    <d v="2015-08-30T00:00:00"/>
    <x v="3"/>
    <n v="8"/>
    <s v="בש/407/2014"/>
    <x v="1"/>
    <n v="1"/>
    <m/>
    <n v="72005"/>
  </r>
  <r>
    <x v="384"/>
    <n v="546921"/>
    <x v="1"/>
    <s v="  "/>
    <n v="1106"/>
    <s v="באר שבע, כלניות"/>
    <x v="2"/>
    <d v="2016-06-27T00:00:00"/>
    <x v="1"/>
    <n v="6"/>
    <s v="בש/256/2015"/>
    <x v="1"/>
    <n v="1"/>
    <m/>
    <n v="72040"/>
  </r>
  <r>
    <x v="385"/>
    <n v="570272"/>
    <x v="1"/>
    <s v="  "/>
    <n v="1529"/>
    <s v="באר שבע, כלניות"/>
    <x v="2"/>
    <d v="2016-06-27T00:00:00"/>
    <x v="1"/>
    <n v="6"/>
    <s v="בש/256/2015"/>
    <x v="1"/>
    <n v="1"/>
    <m/>
    <n v="72324"/>
  </r>
  <r>
    <x v="386"/>
    <n v="544643"/>
    <x v="1"/>
    <s v="  "/>
    <n v="1074"/>
    <s v="באר שבע, כלניות"/>
    <x v="2"/>
    <d v="2016-06-27T00:00:00"/>
    <x v="1"/>
    <n v="6"/>
    <s v="בש/256/2015"/>
    <x v="1"/>
    <n v="1"/>
    <m/>
    <n v="72520"/>
  </r>
  <r>
    <x v="387"/>
    <n v="489368"/>
    <x v="1"/>
    <s v="  "/>
    <n v="311"/>
    <s v="באר שבע, כלניות"/>
    <x v="2"/>
    <d v="2015-08-30T00:00:00"/>
    <x v="3"/>
    <n v="8"/>
    <s v="בש/407/2014"/>
    <x v="1"/>
    <n v="1"/>
    <m/>
    <n v="72950"/>
  </r>
  <r>
    <x v="388"/>
    <n v="486394"/>
    <x v="1"/>
    <s v="  "/>
    <n v="111"/>
    <s v="באר שבע, כלניות"/>
    <x v="2"/>
    <d v="2015-08-30T00:00:00"/>
    <x v="3"/>
    <n v="8"/>
    <s v="בש/407/2014"/>
    <x v="1"/>
    <n v="1"/>
    <m/>
    <n v="72972"/>
  </r>
  <r>
    <x v="389"/>
    <n v="471909"/>
    <x v="1"/>
    <s v="  "/>
    <n v="1451"/>
    <s v="באר שבע, כלניות"/>
    <x v="2"/>
    <d v="2016-06-27T00:00:00"/>
    <x v="1"/>
    <n v="6"/>
    <s v="בש/256/2015"/>
    <x v="1"/>
    <n v="1"/>
    <m/>
    <n v="73000"/>
  </r>
  <r>
    <x v="389"/>
    <n v="541796"/>
    <x v="1"/>
    <s v="  "/>
    <n v="1580"/>
    <s v="באר שבע, כלניות"/>
    <x v="2"/>
    <d v="2016-06-27T00:00:00"/>
    <x v="1"/>
    <n v="6"/>
    <s v="בש/256/2015"/>
    <x v="1"/>
    <n v="1"/>
    <m/>
    <n v="73000"/>
  </r>
  <r>
    <x v="389"/>
    <n v="544074"/>
    <x v="1"/>
    <s v="  "/>
    <n v="1460"/>
    <s v="באר שבע, כלניות"/>
    <x v="2"/>
    <d v="2016-06-27T00:00:00"/>
    <x v="1"/>
    <n v="6"/>
    <s v="בש/256/2015"/>
    <x v="1"/>
    <n v="1"/>
    <m/>
    <n v="73000"/>
  </r>
  <r>
    <x v="390"/>
    <n v="578246"/>
    <x v="1"/>
    <s v="  "/>
    <n v="1495"/>
    <s v="באר שבע, כלניות"/>
    <x v="2"/>
    <d v="2016-06-27T00:00:00"/>
    <x v="1"/>
    <n v="6"/>
    <s v="בש/256/2015"/>
    <x v="1"/>
    <n v="1"/>
    <m/>
    <n v="74000"/>
  </r>
  <r>
    <x v="391"/>
    <n v="563437"/>
    <x v="1"/>
    <s v="  "/>
    <n v="204"/>
    <s v="באר שבע, כלניות"/>
    <x v="2"/>
    <d v="2016-06-27T00:00:00"/>
    <x v="1"/>
    <n v="6"/>
    <s v="בש/256/2015"/>
    <x v="1"/>
    <n v="1"/>
    <m/>
    <n v="74018"/>
  </r>
  <r>
    <x v="392"/>
    <n v="514458"/>
    <x v="1"/>
    <s v="  "/>
    <n v="1449"/>
    <s v="באר שבע, כלניות"/>
    <x v="2"/>
    <d v="2016-06-27T00:00:00"/>
    <x v="1"/>
    <n v="6"/>
    <s v="בש/256/2015"/>
    <x v="1"/>
    <n v="1"/>
    <m/>
    <n v="74100"/>
  </r>
  <r>
    <x v="392"/>
    <n v="514458"/>
    <x v="1"/>
    <s v="  "/>
    <n v="1450"/>
    <s v="באר שבע, כלניות"/>
    <x v="2"/>
    <d v="2016-06-27T00:00:00"/>
    <x v="1"/>
    <n v="6"/>
    <s v="בש/256/2015"/>
    <x v="1"/>
    <n v="1"/>
    <m/>
    <n v="74100"/>
  </r>
  <r>
    <x v="392"/>
    <n v="544643"/>
    <x v="1"/>
    <s v="  "/>
    <n v="1051"/>
    <s v="באר שבע, כלניות"/>
    <x v="2"/>
    <d v="2016-06-27T00:00:00"/>
    <x v="1"/>
    <n v="6"/>
    <s v="בש/256/2015"/>
    <x v="1"/>
    <n v="1"/>
    <m/>
    <n v="74100"/>
  </r>
  <r>
    <x v="393"/>
    <n v="542364"/>
    <x v="1"/>
    <s v="  "/>
    <n v="1075"/>
    <s v="באר שבע, כלניות"/>
    <x v="2"/>
    <d v="2016-06-27T00:00:00"/>
    <x v="1"/>
    <n v="6"/>
    <s v="בש/256/2015"/>
    <x v="1"/>
    <n v="1"/>
    <m/>
    <n v="74200"/>
  </r>
  <r>
    <x v="394"/>
    <n v="544643"/>
    <x v="1"/>
    <s v="  "/>
    <n v="1054"/>
    <s v="באר שבע, כלניות"/>
    <x v="2"/>
    <d v="2016-06-27T00:00:00"/>
    <x v="1"/>
    <n v="6"/>
    <s v="בש/256/2015"/>
    <x v="1"/>
    <n v="1"/>
    <m/>
    <n v="74600"/>
  </r>
  <r>
    <x v="395"/>
    <n v="469061"/>
    <x v="1"/>
    <s v="  "/>
    <n v="1587"/>
    <s v="באר שבע, כלניות"/>
    <x v="2"/>
    <d v="2016-06-27T00:00:00"/>
    <x v="1"/>
    <n v="6"/>
    <s v="בש/256/2015"/>
    <x v="1"/>
    <n v="1"/>
    <m/>
    <n v="74612"/>
  </r>
  <r>
    <x v="396"/>
    <n v="476979"/>
    <x v="1"/>
    <s v="  "/>
    <n v="381"/>
    <s v="באר שבע, כלניות"/>
    <x v="2"/>
    <d v="2015-08-30T00:00:00"/>
    <x v="3"/>
    <n v="8"/>
    <s v="בש/407/2014"/>
    <x v="1"/>
    <n v="1"/>
    <m/>
    <n v="74671"/>
  </r>
  <r>
    <x v="397"/>
    <n v="594761"/>
    <x v="1"/>
    <s v="  "/>
    <n v="1011"/>
    <s v="באר שבע, כלניות"/>
    <x v="2"/>
    <d v="2016-06-27T00:00:00"/>
    <x v="1"/>
    <n v="6"/>
    <s v="בש/256/2015"/>
    <x v="1"/>
    <n v="1"/>
    <m/>
    <n v="75000"/>
  </r>
  <r>
    <x v="398"/>
    <n v="496307"/>
    <x v="1"/>
    <s v="  "/>
    <n v="334"/>
    <s v="באר שבע, כלניות"/>
    <x v="2"/>
    <d v="2015-08-30T00:00:00"/>
    <x v="3"/>
    <n v="8"/>
    <s v="בש/407/2014"/>
    <x v="1"/>
    <n v="1"/>
    <m/>
    <n v="75055"/>
  </r>
  <r>
    <x v="399"/>
    <n v="542364"/>
    <x v="1"/>
    <s v="  "/>
    <n v="1476"/>
    <s v="באר שבע, כלניות"/>
    <x v="2"/>
    <d v="2016-06-27T00:00:00"/>
    <x v="1"/>
    <n v="6"/>
    <s v="בש/256/2015"/>
    <x v="1"/>
    <n v="1"/>
    <m/>
    <n v="75100"/>
  </r>
  <r>
    <x v="400"/>
    <n v="484413"/>
    <x v="1"/>
    <s v="  "/>
    <n v="389"/>
    <s v="באר שבע, כלניות"/>
    <x v="2"/>
    <d v="2015-08-30T00:00:00"/>
    <x v="3"/>
    <n v="8"/>
    <s v="בש/407/2014"/>
    <x v="1"/>
    <n v="1"/>
    <m/>
    <n v="75200"/>
  </r>
  <r>
    <x v="401"/>
    <n v="548630"/>
    <x v="1"/>
    <s v="  "/>
    <n v="1344"/>
    <s v="באר שבע, כלניות"/>
    <x v="2"/>
    <d v="2016-06-27T00:00:00"/>
    <x v="1"/>
    <n v="6"/>
    <s v="בש/256/2015"/>
    <x v="1"/>
    <n v="1"/>
    <m/>
    <n v="75500"/>
  </r>
  <r>
    <x v="402"/>
    <n v="543504"/>
    <x v="1"/>
    <s v="  "/>
    <n v="1127"/>
    <s v="באר שבע, כלניות"/>
    <x v="2"/>
    <d v="2016-06-27T00:00:00"/>
    <x v="1"/>
    <n v="6"/>
    <s v="בש/256/2015"/>
    <x v="1"/>
    <n v="1"/>
    <m/>
    <n v="75505"/>
  </r>
  <r>
    <x v="403"/>
    <n v="474500"/>
    <x v="1"/>
    <s v="  "/>
    <n v="513"/>
    <s v="באר שבע, כלניות"/>
    <x v="2"/>
    <d v="2015-08-30T00:00:00"/>
    <x v="3"/>
    <n v="8"/>
    <s v="בש/407/2014"/>
    <x v="1"/>
    <n v="1"/>
    <m/>
    <n v="75511"/>
  </r>
  <r>
    <x v="404"/>
    <n v="479951"/>
    <x v="1"/>
    <s v="  "/>
    <n v="63"/>
    <s v="באר שבע, כלניות"/>
    <x v="2"/>
    <d v="2015-08-30T00:00:00"/>
    <x v="3"/>
    <n v="8"/>
    <s v="בש/407/2014"/>
    <x v="1"/>
    <n v="1"/>
    <m/>
    <n v="75555"/>
  </r>
  <r>
    <x v="405"/>
    <n v="493828"/>
    <x v="1"/>
    <s v="  "/>
    <n v="408"/>
    <s v="באר שבע, כלניות"/>
    <x v="2"/>
    <d v="2015-08-30T00:00:00"/>
    <x v="3"/>
    <n v="8"/>
    <s v="בש/407/2014"/>
    <x v="1"/>
    <n v="1"/>
    <m/>
    <n v="75556"/>
  </r>
  <r>
    <x v="406"/>
    <n v="514458"/>
    <x v="1"/>
    <s v="  "/>
    <n v="1244"/>
    <s v="באר שבע, כלניות"/>
    <x v="2"/>
    <d v="2016-06-27T00:00:00"/>
    <x v="1"/>
    <n v="6"/>
    <s v="בש/256/2015"/>
    <x v="1"/>
    <n v="1"/>
    <m/>
    <n v="75912"/>
  </r>
  <r>
    <x v="407"/>
    <n v="479951"/>
    <x v="1"/>
    <s v="  "/>
    <n v="144"/>
    <s v="באר שבע, כלניות"/>
    <x v="2"/>
    <d v="2015-08-30T00:00:00"/>
    <x v="3"/>
    <n v="8"/>
    <s v="בש/407/2014"/>
    <x v="1"/>
    <n v="1"/>
    <m/>
    <n v="76000"/>
  </r>
  <r>
    <x v="408"/>
    <n v="591544"/>
    <x v="1"/>
    <s v="  "/>
    <n v="651"/>
    <s v="באר שבע, כלניות"/>
    <x v="2"/>
    <d v="2016-06-27T00:00:00"/>
    <x v="1"/>
    <n v="6"/>
    <s v="בש/256/2015"/>
    <x v="1"/>
    <n v="1"/>
    <m/>
    <n v="76018"/>
  </r>
  <r>
    <x v="409"/>
    <n v="478174"/>
    <x v="1"/>
    <s v="  "/>
    <n v="1364"/>
    <s v="באר שבע, כלניות"/>
    <x v="2"/>
    <d v="2016-06-27T00:00:00"/>
    <x v="1"/>
    <n v="6"/>
    <s v="בש/256/2015"/>
    <x v="1"/>
    <n v="1"/>
    <m/>
    <n v="76600"/>
  </r>
  <r>
    <x v="410"/>
    <n v="570841"/>
    <x v="1"/>
    <s v="  "/>
    <n v="407"/>
    <s v="באר שבע, כלניות"/>
    <x v="2"/>
    <d v="2016-06-27T00:00:00"/>
    <x v="1"/>
    <n v="6"/>
    <s v="בש/256/2015"/>
    <x v="1"/>
    <n v="1"/>
    <m/>
    <n v="76702"/>
  </r>
  <r>
    <x v="411"/>
    <n v="554895"/>
    <x v="1"/>
    <s v="  "/>
    <n v="1097"/>
    <s v="באר שבע, כלניות"/>
    <x v="2"/>
    <d v="2016-06-27T00:00:00"/>
    <x v="1"/>
    <n v="6"/>
    <s v="בש/256/2015"/>
    <x v="1"/>
    <n v="1"/>
    <m/>
    <n v="76900"/>
  </r>
  <r>
    <x v="412"/>
    <n v="599318"/>
    <x v="1"/>
    <s v="  "/>
    <n v="1480"/>
    <s v="באר שבע, כלניות"/>
    <x v="2"/>
    <d v="2016-06-27T00:00:00"/>
    <x v="1"/>
    <n v="6"/>
    <s v="בש/256/2015"/>
    <x v="1"/>
    <n v="1"/>
    <m/>
    <n v="76999"/>
  </r>
  <r>
    <x v="413"/>
    <n v="470201"/>
    <x v="1"/>
    <s v="  "/>
    <n v="1361"/>
    <s v="באר שבע, כלניות"/>
    <x v="2"/>
    <d v="2016-06-27T00:00:00"/>
    <x v="1"/>
    <n v="6"/>
    <s v="בש/256/2015"/>
    <x v="1"/>
    <n v="1"/>
    <m/>
    <n v="77000"/>
  </r>
  <r>
    <x v="414"/>
    <n v="514458"/>
    <x v="1"/>
    <s v="  "/>
    <n v="1440"/>
    <s v="באר שבע, כלניות"/>
    <x v="2"/>
    <d v="2016-06-27T00:00:00"/>
    <x v="1"/>
    <n v="6"/>
    <s v="בש/256/2015"/>
    <x v="1"/>
    <n v="1"/>
    <m/>
    <n v="77500"/>
  </r>
  <r>
    <x v="415"/>
    <n v="468492"/>
    <x v="1"/>
    <s v="  "/>
    <n v="1160"/>
    <s v="באר שבע, כלניות"/>
    <x v="2"/>
    <d v="2016-06-27T00:00:00"/>
    <x v="1"/>
    <n v="6"/>
    <s v="בש/256/2015"/>
    <x v="1"/>
    <n v="1"/>
    <m/>
    <n v="77575"/>
  </r>
  <r>
    <x v="416"/>
    <n v="468492"/>
    <x v="1"/>
    <s v="  "/>
    <n v="1407"/>
    <s v="באר שבע, כלניות"/>
    <x v="2"/>
    <d v="2016-06-27T00:00:00"/>
    <x v="1"/>
    <n v="6"/>
    <s v="בש/256/2015"/>
    <x v="1"/>
    <n v="1"/>
    <m/>
    <n v="77777"/>
  </r>
  <r>
    <x v="416"/>
    <n v="524375"/>
    <x v="1"/>
    <s v="  "/>
    <n v="672"/>
    <s v="באר שבע, כלניות"/>
    <x v="2"/>
    <d v="2015-08-30T00:00:00"/>
    <x v="3"/>
    <n v="8"/>
    <s v="בש/407/2014"/>
    <x v="1"/>
    <n v="1"/>
    <m/>
    <n v="77777"/>
  </r>
  <r>
    <x v="416"/>
    <n v="524375"/>
    <x v="1"/>
    <s v="  "/>
    <n v="673"/>
    <s v="באר שבע, כלניות"/>
    <x v="2"/>
    <d v="2015-08-30T00:00:00"/>
    <x v="3"/>
    <n v="8"/>
    <s v="בש/407/2014"/>
    <x v="1"/>
    <n v="1"/>
    <m/>
    <n v="77777"/>
  </r>
  <r>
    <x v="416"/>
    <n v="568563"/>
    <x v="1"/>
    <s v="  "/>
    <n v="8"/>
    <s v="באר שבע, כלניות"/>
    <x v="2"/>
    <d v="2016-06-27T00:00:00"/>
    <x v="1"/>
    <n v="6"/>
    <s v="בש/256/2015"/>
    <x v="1"/>
    <n v="1"/>
    <m/>
    <n v="77777"/>
  </r>
  <r>
    <x v="416"/>
    <n v="574259"/>
    <x v="1"/>
    <s v="  "/>
    <n v="1530"/>
    <s v="באר שבע, כלניות"/>
    <x v="2"/>
    <d v="2016-06-27T00:00:00"/>
    <x v="1"/>
    <n v="6"/>
    <s v="בש/256/2015"/>
    <x v="1"/>
    <n v="1"/>
    <m/>
    <n v="77777"/>
  </r>
  <r>
    <x v="416"/>
    <n v="586219"/>
    <x v="1"/>
    <s v="  "/>
    <n v="85"/>
    <s v="באר שבע, כלניות"/>
    <x v="2"/>
    <d v="2016-06-27T00:00:00"/>
    <x v="1"/>
    <n v="6"/>
    <s v="בש/256/2015"/>
    <x v="1"/>
    <n v="1"/>
    <m/>
    <n v="77777"/>
  </r>
  <r>
    <x v="417"/>
    <n v="529265"/>
    <x v="1"/>
    <s v="  "/>
    <n v="1107"/>
    <s v="באר שבע, כלניות"/>
    <x v="2"/>
    <d v="2016-06-27T00:00:00"/>
    <x v="1"/>
    <n v="6"/>
    <s v="בש/256/2015"/>
    <x v="1"/>
    <n v="1"/>
    <m/>
    <n v="77784"/>
  </r>
  <r>
    <x v="418"/>
    <n v="574828"/>
    <x v="1"/>
    <s v="  "/>
    <n v="1501"/>
    <s v="באר שבע, כלניות"/>
    <x v="2"/>
    <d v="2016-06-27T00:00:00"/>
    <x v="1"/>
    <n v="6"/>
    <s v="בש/256/2015"/>
    <x v="1"/>
    <n v="1"/>
    <m/>
    <n v="78000"/>
  </r>
  <r>
    <x v="419"/>
    <n v="544643"/>
    <x v="1"/>
    <s v="  "/>
    <n v="1039"/>
    <s v="באר שבע, כלניות"/>
    <x v="2"/>
    <d v="2016-06-27T00:00:00"/>
    <x v="1"/>
    <n v="6"/>
    <s v="בש/256/2015"/>
    <x v="1"/>
    <n v="1"/>
    <m/>
    <n v="78200"/>
  </r>
  <r>
    <x v="420"/>
    <n v="618681"/>
    <x v="1"/>
    <s v="  "/>
    <n v="1179"/>
    <s v="באר שבע, כלניות"/>
    <x v="2"/>
    <d v="2016-06-27T00:00:00"/>
    <x v="1"/>
    <n v="6"/>
    <s v="בש/256/2015"/>
    <x v="1"/>
    <n v="1"/>
    <m/>
    <n v="78260"/>
  </r>
  <r>
    <x v="421"/>
    <n v="528696"/>
    <x v="1"/>
    <s v="  "/>
    <n v="1325"/>
    <s v="באר שבע, כלניות"/>
    <x v="2"/>
    <d v="2016-06-27T00:00:00"/>
    <x v="1"/>
    <n v="6"/>
    <s v="בש/256/2015"/>
    <x v="1"/>
    <n v="1"/>
    <m/>
    <n v="78560"/>
  </r>
  <r>
    <x v="422"/>
    <n v="471340"/>
    <x v="1"/>
    <s v="  "/>
    <n v="1203"/>
    <s v="באר שבע, כלניות"/>
    <x v="2"/>
    <d v="2016-06-27T00:00:00"/>
    <x v="1"/>
    <n v="6"/>
    <s v="בש/256/2015"/>
    <x v="1"/>
    <n v="1"/>
    <m/>
    <n v="78660"/>
  </r>
  <r>
    <x v="423"/>
    <n v="542364"/>
    <x v="1"/>
    <s v="  "/>
    <n v="1570"/>
    <s v="באר שבע, כלניות"/>
    <x v="2"/>
    <d v="2016-06-27T00:00:00"/>
    <x v="1"/>
    <n v="6"/>
    <s v="בש/256/2015"/>
    <x v="1"/>
    <n v="1"/>
    <m/>
    <n v="79943"/>
  </r>
  <r>
    <x v="424"/>
    <n v="501262"/>
    <x v="1"/>
    <s v="  "/>
    <n v="343"/>
    <s v="באר שבע, כלניות"/>
    <x v="2"/>
    <d v="2015-08-30T00:00:00"/>
    <x v="3"/>
    <n v="8"/>
    <s v="בש/407/2014"/>
    <x v="1"/>
    <n v="1"/>
    <m/>
    <n v="79950"/>
  </r>
  <r>
    <x v="425"/>
    <n v="481439"/>
    <x v="1"/>
    <s v="  "/>
    <n v="325"/>
    <s v="באר שבע, כלניות"/>
    <x v="2"/>
    <d v="2015-08-30T00:00:00"/>
    <x v="3"/>
    <n v="8"/>
    <s v="בש/407/2014"/>
    <x v="1"/>
    <n v="1"/>
    <m/>
    <n v="80000"/>
  </r>
  <r>
    <x v="425"/>
    <n v="488873"/>
    <x v="1"/>
    <s v="  "/>
    <n v="93"/>
    <s v="באר שבע, כלניות"/>
    <x v="2"/>
    <d v="2015-08-30T00:00:00"/>
    <x v="3"/>
    <n v="8"/>
    <s v="בש/407/2014"/>
    <x v="1"/>
    <n v="1"/>
    <m/>
    <n v="80000"/>
  </r>
  <r>
    <x v="425"/>
    <n v="488873"/>
    <x v="1"/>
    <s v="  "/>
    <n v="98"/>
    <s v="באר שבע, כלניות"/>
    <x v="2"/>
    <d v="2015-08-30T00:00:00"/>
    <x v="3"/>
    <n v="8"/>
    <s v="בש/407/2014"/>
    <x v="1"/>
    <n v="1"/>
    <m/>
    <n v="80000"/>
  </r>
  <r>
    <x v="425"/>
    <n v="491845"/>
    <x v="1"/>
    <s v="  "/>
    <n v="207"/>
    <s v="באר שבע, כלניות"/>
    <x v="2"/>
    <d v="2015-08-30T00:00:00"/>
    <x v="3"/>
    <n v="8"/>
    <s v="בש/407/2014"/>
    <x v="1"/>
    <n v="1"/>
    <m/>
    <n v="80000"/>
  </r>
  <r>
    <x v="425"/>
    <n v="536670"/>
    <x v="1"/>
    <s v="  "/>
    <n v="1582"/>
    <s v="באר שבע, כלניות"/>
    <x v="2"/>
    <d v="2016-06-27T00:00:00"/>
    <x v="1"/>
    <n v="6"/>
    <s v="בש/256/2015"/>
    <x v="1"/>
    <n v="1"/>
    <m/>
    <n v="80000"/>
  </r>
  <r>
    <x v="425"/>
    <n v="560590"/>
    <x v="1"/>
    <s v="  "/>
    <n v="47"/>
    <s v="באר שבע, כלניות"/>
    <x v="2"/>
    <d v="2016-06-27T00:00:00"/>
    <x v="1"/>
    <n v="6"/>
    <s v="בש/256/2015"/>
    <x v="1"/>
    <n v="1"/>
    <m/>
    <n v="80000"/>
  </r>
  <r>
    <x v="426"/>
    <n v="488873"/>
    <x v="1"/>
    <s v="  "/>
    <n v="210"/>
    <s v="באר שבע, כלניות"/>
    <x v="2"/>
    <d v="2015-08-30T00:00:00"/>
    <x v="3"/>
    <n v="8"/>
    <s v="בש/407/2014"/>
    <x v="1"/>
    <n v="1"/>
    <m/>
    <n v="80004"/>
  </r>
  <r>
    <x v="427"/>
    <n v="546921"/>
    <x v="1"/>
    <s v="  "/>
    <n v="1421"/>
    <s v="באר שבע, כלניות"/>
    <x v="2"/>
    <d v="2016-06-27T00:00:00"/>
    <x v="1"/>
    <n v="6"/>
    <s v="בש/256/2015"/>
    <x v="1"/>
    <n v="1"/>
    <m/>
    <n v="80033"/>
  </r>
  <r>
    <x v="428"/>
    <n v="475491"/>
    <x v="1"/>
    <s v="  "/>
    <n v="400"/>
    <s v="באר שבע, כלניות"/>
    <x v="2"/>
    <d v="2015-08-30T00:00:00"/>
    <x v="3"/>
    <n v="8"/>
    <s v="בש/407/2014"/>
    <x v="1"/>
    <n v="1"/>
    <m/>
    <n v="80055"/>
  </r>
  <r>
    <x v="429"/>
    <n v="540656"/>
    <x v="1"/>
    <s v="  "/>
    <n v="1114"/>
    <s v="באר שבע, כלניות"/>
    <x v="2"/>
    <d v="2016-06-27T00:00:00"/>
    <x v="1"/>
    <n v="6"/>
    <s v="בש/256/2015"/>
    <x v="1"/>
    <n v="1"/>
    <m/>
    <n v="80200"/>
  </r>
  <r>
    <x v="430"/>
    <n v="555464"/>
    <x v="1"/>
    <s v="  "/>
    <n v="1423"/>
    <s v="באר שבע, כלניות"/>
    <x v="2"/>
    <d v="2016-06-27T00:00:00"/>
    <x v="1"/>
    <n v="6"/>
    <s v="בש/256/2015"/>
    <x v="1"/>
    <n v="1"/>
    <m/>
    <n v="80250"/>
  </r>
  <r>
    <x v="431"/>
    <n v="514458"/>
    <x v="1"/>
    <s v="  "/>
    <n v="1520"/>
    <s v="באר שבע, כלניות"/>
    <x v="2"/>
    <d v="2016-06-27T00:00:00"/>
    <x v="1"/>
    <n v="6"/>
    <s v="בש/256/2015"/>
    <x v="1"/>
    <n v="1"/>
    <m/>
    <n v="80500"/>
  </r>
  <r>
    <x v="432"/>
    <n v="571410"/>
    <x v="1"/>
    <s v="  "/>
    <n v="1110"/>
    <s v="באר שבע, כלניות"/>
    <x v="2"/>
    <d v="2016-06-27T00:00:00"/>
    <x v="1"/>
    <n v="6"/>
    <s v="בש/256/2015"/>
    <x v="1"/>
    <n v="1"/>
    <m/>
    <n v="80685"/>
  </r>
  <r>
    <x v="433"/>
    <n v="541227"/>
    <x v="1"/>
    <s v="  "/>
    <n v="1112"/>
    <s v="באר שבע, כלניות"/>
    <x v="2"/>
    <d v="2016-06-27T00:00:00"/>
    <x v="1"/>
    <n v="6"/>
    <s v="בש/256/2015"/>
    <x v="1"/>
    <n v="1"/>
    <m/>
    <n v="80879"/>
  </r>
  <r>
    <x v="434"/>
    <n v="489864"/>
    <x v="1"/>
    <s v="  "/>
    <n v="89"/>
    <s v="באר שבע, כלניות"/>
    <x v="2"/>
    <d v="2015-08-30T00:00:00"/>
    <x v="3"/>
    <n v="8"/>
    <s v="בש/407/2014"/>
    <x v="1"/>
    <n v="1"/>
    <m/>
    <n v="81000"/>
  </r>
  <r>
    <x v="434"/>
    <n v="492837"/>
    <x v="1"/>
    <s v="  "/>
    <n v="78"/>
    <s v="באר שבע, כלניות"/>
    <x v="2"/>
    <d v="2015-08-30T00:00:00"/>
    <x v="3"/>
    <n v="8"/>
    <s v="בש/407/2014"/>
    <x v="1"/>
    <n v="1"/>
    <m/>
    <n v="81000"/>
  </r>
  <r>
    <x v="434"/>
    <n v="542935"/>
    <x v="1"/>
    <s v="  "/>
    <n v="1286"/>
    <s v="באר שבע, כלניות"/>
    <x v="2"/>
    <d v="2016-06-27T00:00:00"/>
    <x v="1"/>
    <n v="6"/>
    <s v="בש/256/2015"/>
    <x v="1"/>
    <n v="1"/>
    <m/>
    <n v="81000"/>
  </r>
  <r>
    <x v="435"/>
    <n v="442863"/>
    <x v="1"/>
    <s v="  "/>
    <n v="1247"/>
    <s v="באר שבע, כלניות"/>
    <x v="2"/>
    <d v="2016-06-27T00:00:00"/>
    <x v="1"/>
    <n v="6"/>
    <s v="בש/256/2015"/>
    <x v="1"/>
    <n v="1"/>
    <m/>
    <n v="81100"/>
  </r>
  <r>
    <x v="435"/>
    <n v="566286"/>
    <x v="1"/>
    <s v="  "/>
    <n v="1095"/>
    <s v="באר שבע, כלניות"/>
    <x v="2"/>
    <d v="2016-06-27T00:00:00"/>
    <x v="1"/>
    <n v="6"/>
    <s v="בש/256/2015"/>
    <x v="1"/>
    <n v="1"/>
    <m/>
    <n v="81100"/>
  </r>
  <r>
    <x v="436"/>
    <n v="493828"/>
    <x v="1"/>
    <s v="  "/>
    <n v="359"/>
    <s v="באר שבע, כלניות"/>
    <x v="2"/>
    <d v="2015-08-30T00:00:00"/>
    <x v="3"/>
    <n v="8"/>
    <s v="בש/407/2014"/>
    <x v="1"/>
    <n v="1"/>
    <m/>
    <n v="81111"/>
  </r>
  <r>
    <x v="437"/>
    <n v="484413"/>
    <x v="1"/>
    <s v="  "/>
    <n v="317"/>
    <s v="באר שבע, כלניות"/>
    <x v="2"/>
    <d v="2015-08-30T00:00:00"/>
    <x v="3"/>
    <n v="8"/>
    <s v="בש/407/2014"/>
    <x v="1"/>
    <n v="1"/>
    <m/>
    <n v="81169"/>
  </r>
  <r>
    <x v="438"/>
    <n v="543504"/>
    <x v="1"/>
    <s v="  "/>
    <n v="1128"/>
    <s v="באר שבע, כלניות"/>
    <x v="2"/>
    <d v="2016-06-27T00:00:00"/>
    <x v="1"/>
    <n v="6"/>
    <s v="בש/256/2015"/>
    <x v="1"/>
    <n v="1"/>
    <m/>
    <n v="81231"/>
  </r>
  <r>
    <x v="439"/>
    <n v="554895"/>
    <x v="1"/>
    <s v="  "/>
    <n v="1280"/>
    <s v="באר שבע, כלניות"/>
    <x v="2"/>
    <d v="2016-06-27T00:00:00"/>
    <x v="1"/>
    <n v="6"/>
    <s v="בש/256/2015"/>
    <x v="1"/>
    <n v="1"/>
    <m/>
    <n v="81289"/>
  </r>
  <r>
    <x v="440"/>
    <n v="514458"/>
    <x v="1"/>
    <s v="  "/>
    <n v="1557"/>
    <s v="באר שבע, כלניות"/>
    <x v="2"/>
    <d v="2016-06-27T00:00:00"/>
    <x v="1"/>
    <n v="6"/>
    <s v="בש/256/2015"/>
    <x v="1"/>
    <n v="1"/>
    <m/>
    <n v="81412"/>
  </r>
  <r>
    <x v="441"/>
    <n v="478174"/>
    <x v="1"/>
    <s v="  "/>
    <n v="1202"/>
    <s v="באר שבע, כלניות"/>
    <x v="2"/>
    <d v="2016-06-27T00:00:00"/>
    <x v="1"/>
    <n v="6"/>
    <s v="בש/256/2015"/>
    <x v="1"/>
    <n v="1"/>
    <m/>
    <n v="81555"/>
  </r>
  <r>
    <x v="442"/>
    <n v="554324"/>
    <x v="1"/>
    <s v="  "/>
    <n v="1507"/>
    <s v="באר שבע, כלניות"/>
    <x v="2"/>
    <d v="2016-06-27T00:00:00"/>
    <x v="1"/>
    <n v="6"/>
    <s v="בש/256/2015"/>
    <x v="1"/>
    <n v="1"/>
    <m/>
    <n v="81580"/>
  </r>
  <r>
    <x v="443"/>
    <n v="468492"/>
    <x v="1"/>
    <s v="  "/>
    <n v="1408"/>
    <s v="באר שבע, כלניות"/>
    <x v="2"/>
    <d v="2016-06-27T00:00:00"/>
    <x v="1"/>
    <n v="6"/>
    <s v="בש/256/2015"/>
    <x v="1"/>
    <n v="1"/>
    <m/>
    <n v="81860"/>
  </r>
  <r>
    <x v="444"/>
    <n v="480447"/>
    <x v="1"/>
    <s v="  "/>
    <n v="261"/>
    <s v="באר שבע, כלניות"/>
    <x v="2"/>
    <d v="2015-08-30T00:00:00"/>
    <x v="3"/>
    <n v="8"/>
    <s v="בש/407/2014"/>
    <x v="1"/>
    <n v="1"/>
    <m/>
    <n v="81952"/>
  </r>
  <r>
    <x v="445"/>
    <n v="478174"/>
    <x v="1"/>
    <s v="  "/>
    <n v="1198"/>
    <s v="באר שבע, כלניות"/>
    <x v="2"/>
    <d v="2016-06-27T00:00:00"/>
    <x v="1"/>
    <n v="6"/>
    <s v="בש/256/2015"/>
    <x v="1"/>
    <n v="1"/>
    <m/>
    <n v="82000"/>
  </r>
  <r>
    <x v="445"/>
    <n v="497793"/>
    <x v="1"/>
    <s v="  "/>
    <n v="158"/>
    <s v="באר שבע, כלניות"/>
    <x v="2"/>
    <d v="2015-08-30T00:00:00"/>
    <x v="3"/>
    <n v="8"/>
    <s v="בש/407/2014"/>
    <x v="1"/>
    <n v="1"/>
    <m/>
    <n v="82000"/>
  </r>
  <r>
    <x v="445"/>
    <n v="516625"/>
    <x v="1"/>
    <s v="  "/>
    <n v="505"/>
    <s v="באר שבע, כלניות"/>
    <x v="2"/>
    <d v="2015-08-30T00:00:00"/>
    <x v="3"/>
    <n v="8"/>
    <s v="בש/407/2014"/>
    <x v="1"/>
    <n v="1"/>
    <m/>
    <n v="82000"/>
  </r>
  <r>
    <x v="445"/>
    <n v="529836"/>
    <x v="1"/>
    <s v="  "/>
    <n v="1432"/>
    <s v="באר שבע, כלניות"/>
    <x v="2"/>
    <d v="2016-06-27T00:00:00"/>
    <x v="1"/>
    <n v="6"/>
    <s v="בש/256/2015"/>
    <x v="1"/>
    <n v="1"/>
    <m/>
    <n v="82000"/>
  </r>
  <r>
    <x v="445"/>
    <n v="537809"/>
    <x v="1"/>
    <s v="  "/>
    <n v="1088"/>
    <s v="באר שבע, כלניות"/>
    <x v="2"/>
    <d v="2016-06-27T00:00:00"/>
    <x v="1"/>
    <n v="6"/>
    <s v="בש/256/2015"/>
    <x v="1"/>
    <n v="1"/>
    <m/>
    <n v="82000"/>
  </r>
  <r>
    <x v="445"/>
    <n v="607860"/>
    <x v="1"/>
    <s v="  "/>
    <n v="358"/>
    <s v="באר שבע, כלניות"/>
    <x v="2"/>
    <d v="2016-06-27T00:00:00"/>
    <x v="1"/>
    <n v="6"/>
    <s v="בש/256/2015"/>
    <x v="1"/>
    <n v="1"/>
    <m/>
    <n v="82000"/>
  </r>
  <r>
    <x v="446"/>
    <n v="546351"/>
    <x v="1"/>
    <s v="  "/>
    <n v="1231"/>
    <s v="באר שבע, כלניות"/>
    <x v="2"/>
    <d v="2016-06-27T00:00:00"/>
    <x v="1"/>
    <n v="6"/>
    <s v="בש/256/2015"/>
    <x v="1"/>
    <n v="1"/>
    <m/>
    <n v="82101"/>
  </r>
  <r>
    <x v="447"/>
    <n v="559450"/>
    <x v="1"/>
    <s v="  "/>
    <n v="1333"/>
    <s v="באר שבע, כלניות"/>
    <x v="2"/>
    <d v="2016-06-27T00:00:00"/>
    <x v="1"/>
    <n v="6"/>
    <s v="בש/256/2015"/>
    <x v="1"/>
    <n v="1"/>
    <m/>
    <n v="82200"/>
  </r>
  <r>
    <x v="448"/>
    <n v="490854"/>
    <x v="1"/>
    <s v="  "/>
    <n v="532"/>
    <s v="באר שבע, כלניות"/>
    <x v="2"/>
    <d v="2015-08-30T00:00:00"/>
    <x v="3"/>
    <n v="8"/>
    <s v="בש/407/2014"/>
    <x v="1"/>
    <n v="1"/>
    <m/>
    <n v="82331"/>
  </r>
  <r>
    <x v="449"/>
    <n v="479456"/>
    <x v="1"/>
    <s v="  "/>
    <n v="251"/>
    <s v="באר שבע, כלניות"/>
    <x v="2"/>
    <d v="2015-08-30T00:00:00"/>
    <x v="3"/>
    <n v="8"/>
    <s v="בש/407/2014"/>
    <x v="1"/>
    <n v="1"/>
    <m/>
    <n v="82721"/>
  </r>
  <r>
    <x v="450"/>
    <n v="484413"/>
    <x v="1"/>
    <s v="  "/>
    <n v="377"/>
    <s v="באר שבע, כלניות"/>
    <x v="2"/>
    <d v="2015-08-30T00:00:00"/>
    <x v="3"/>
    <n v="8"/>
    <s v="בש/407/2014"/>
    <x v="1"/>
    <n v="1"/>
    <m/>
    <n v="83000"/>
  </r>
  <r>
    <x v="450"/>
    <n v="492342"/>
    <x v="1"/>
    <s v="  "/>
    <n v="23"/>
    <s v="באר שבע, כלניות"/>
    <x v="2"/>
    <d v="2015-08-30T00:00:00"/>
    <x v="3"/>
    <n v="8"/>
    <s v="בש/407/2014"/>
    <x v="1"/>
    <n v="1"/>
    <m/>
    <n v="83000"/>
  </r>
  <r>
    <x v="450"/>
    <n v="492837"/>
    <x v="1"/>
    <s v="  "/>
    <n v="292"/>
    <s v="באר שבע, כלניות"/>
    <x v="2"/>
    <d v="2015-08-30T00:00:00"/>
    <x v="3"/>
    <n v="8"/>
    <s v="בש/407/2014"/>
    <x v="1"/>
    <n v="1"/>
    <m/>
    <n v="83000"/>
  </r>
  <r>
    <x v="450"/>
    <n v="540656"/>
    <x v="1"/>
    <s v="  "/>
    <n v="1115"/>
    <s v="באר שבע, כלניות"/>
    <x v="2"/>
    <d v="2016-06-27T00:00:00"/>
    <x v="1"/>
    <n v="6"/>
    <s v="בש/256/2015"/>
    <x v="1"/>
    <n v="1"/>
    <m/>
    <n v="83000"/>
  </r>
  <r>
    <x v="450"/>
    <n v="569133"/>
    <x v="1"/>
    <s v="  "/>
    <n v="20"/>
    <s v="באר שבע, כלניות"/>
    <x v="2"/>
    <d v="2016-06-27T00:00:00"/>
    <x v="1"/>
    <n v="6"/>
    <s v="בש/256/2015"/>
    <x v="1"/>
    <n v="1"/>
    <m/>
    <n v="83000"/>
  </r>
  <r>
    <x v="451"/>
    <n v="547490"/>
    <x v="1"/>
    <s v="  "/>
    <n v="1209"/>
    <s v="באר שבע, כלניות"/>
    <x v="2"/>
    <d v="2016-06-27T00:00:00"/>
    <x v="1"/>
    <n v="6"/>
    <s v="בש/256/2015"/>
    <x v="1"/>
    <n v="1"/>
    <m/>
    <n v="83100"/>
  </r>
  <r>
    <x v="452"/>
    <n v="552047"/>
    <x v="1"/>
    <s v="  "/>
    <n v="1019"/>
    <s v="באר שבע, כלניות"/>
    <x v="2"/>
    <d v="2016-06-27T00:00:00"/>
    <x v="1"/>
    <n v="6"/>
    <s v="בש/256/2015"/>
    <x v="1"/>
    <n v="1"/>
    <m/>
    <n v="83416"/>
  </r>
  <r>
    <x v="453"/>
    <n v="571410"/>
    <x v="1"/>
    <s v="  "/>
    <n v="21"/>
    <s v="באר שבע, כלניות"/>
    <x v="2"/>
    <d v="2016-06-27T00:00:00"/>
    <x v="1"/>
    <n v="6"/>
    <s v="בש/256/2015"/>
    <x v="1"/>
    <n v="1"/>
    <m/>
    <n v="83500"/>
  </r>
  <r>
    <x v="454"/>
    <n v="543504"/>
    <x v="1"/>
    <s v="  "/>
    <n v="1461"/>
    <s v="באר שבע, כלניות"/>
    <x v="2"/>
    <d v="2016-06-27T00:00:00"/>
    <x v="1"/>
    <n v="6"/>
    <s v="בש/256/2015"/>
    <x v="1"/>
    <n v="1"/>
    <m/>
    <n v="83550"/>
  </r>
  <r>
    <x v="455"/>
    <n v="488873"/>
    <x v="1"/>
    <s v="  "/>
    <n v="170"/>
    <s v="באר שבע, כלניות"/>
    <x v="2"/>
    <d v="2015-08-30T00:00:00"/>
    <x v="3"/>
    <n v="8"/>
    <s v="בש/407/2014"/>
    <x v="1"/>
    <n v="1"/>
    <m/>
    <n v="84000"/>
  </r>
  <r>
    <x v="456"/>
    <n v="486394"/>
    <x v="1"/>
    <s v="  "/>
    <n v="362"/>
    <s v="באר שבע, כלניות"/>
    <x v="2"/>
    <d v="2015-08-30T00:00:00"/>
    <x v="3"/>
    <n v="8"/>
    <s v="בש/407/2014"/>
    <x v="1"/>
    <n v="1"/>
    <m/>
    <n v="84484"/>
  </r>
  <r>
    <x v="457"/>
    <n v="493333"/>
    <x v="1"/>
    <s v="  "/>
    <n v="171"/>
    <s v="באר שבע, כלניות"/>
    <x v="2"/>
    <d v="2015-08-30T00:00:00"/>
    <x v="3"/>
    <n v="8"/>
    <s v="בש/407/2014"/>
    <x v="1"/>
    <n v="1"/>
    <m/>
    <n v="84745"/>
  </r>
  <r>
    <x v="458"/>
    <n v="476466"/>
    <x v="1"/>
    <s v="  "/>
    <n v="1197"/>
    <s v="באר שבע, כלניות"/>
    <x v="2"/>
    <d v="2016-06-27T00:00:00"/>
    <x v="1"/>
    <n v="6"/>
    <s v="בש/256/2015"/>
    <x v="1"/>
    <n v="1"/>
    <m/>
    <n v="84940"/>
  </r>
  <r>
    <x v="459"/>
    <n v="487882"/>
    <x v="1"/>
    <s v="  "/>
    <n v="154"/>
    <s v="באר שבע, כלניות"/>
    <x v="2"/>
    <d v="2015-08-30T00:00:00"/>
    <x v="3"/>
    <n v="8"/>
    <s v="בש/407/2014"/>
    <x v="1"/>
    <n v="1"/>
    <m/>
    <n v="85000"/>
  </r>
  <r>
    <x v="459"/>
    <n v="490359"/>
    <x v="1"/>
    <s v="  "/>
    <n v="101"/>
    <s v="באר שבע, כלניות"/>
    <x v="2"/>
    <d v="2015-08-30T00:00:00"/>
    <x v="3"/>
    <n v="8"/>
    <s v="בש/407/2014"/>
    <x v="1"/>
    <n v="1"/>
    <m/>
    <n v="85000"/>
  </r>
  <r>
    <x v="459"/>
    <n v="491845"/>
    <x v="1"/>
    <s v="  "/>
    <n v="357"/>
    <s v="באר שבע, כלניות"/>
    <x v="2"/>
    <d v="2015-08-30T00:00:00"/>
    <x v="3"/>
    <n v="8"/>
    <s v="בש/407/2014"/>
    <x v="1"/>
    <n v="1"/>
    <m/>
    <n v="85000"/>
  </r>
  <r>
    <x v="459"/>
    <n v="508696"/>
    <x v="1"/>
    <s v="  "/>
    <n v="464"/>
    <s v="באר שבע, כלניות"/>
    <x v="2"/>
    <d v="2015-08-30T00:00:00"/>
    <x v="3"/>
    <n v="8"/>
    <s v="בש/407/2014"/>
    <x v="1"/>
    <n v="1"/>
    <m/>
    <n v="85000"/>
  </r>
  <r>
    <x v="459"/>
    <n v="539517"/>
    <x v="1"/>
    <s v="  "/>
    <n v="1574"/>
    <s v="באר שבע, כלניות"/>
    <x v="2"/>
    <d v="2016-06-27T00:00:00"/>
    <x v="1"/>
    <n v="6"/>
    <s v="בש/256/2015"/>
    <x v="1"/>
    <n v="1"/>
    <m/>
    <n v="85000"/>
  </r>
  <r>
    <x v="459"/>
    <n v="542935"/>
    <x v="1"/>
    <s v="  "/>
    <n v="1029"/>
    <s v="באר שבע, כלניות"/>
    <x v="2"/>
    <d v="2016-06-27T00:00:00"/>
    <x v="1"/>
    <n v="6"/>
    <s v="בש/256/2015"/>
    <x v="1"/>
    <n v="1"/>
    <m/>
    <n v="85000"/>
  </r>
  <r>
    <x v="459"/>
    <n v="555464"/>
    <x v="1"/>
    <s v="  "/>
    <n v="1204"/>
    <s v="באר שבע, כלניות"/>
    <x v="2"/>
    <d v="2016-06-27T00:00:00"/>
    <x v="1"/>
    <n v="6"/>
    <s v="בש/256/2015"/>
    <x v="1"/>
    <n v="1"/>
    <m/>
    <n v="85000"/>
  </r>
  <r>
    <x v="460"/>
    <n v="557742"/>
    <x v="1"/>
    <s v="  "/>
    <n v="1008"/>
    <s v="באר שבע, כלניות"/>
    <x v="2"/>
    <d v="2016-06-27T00:00:00"/>
    <x v="1"/>
    <n v="6"/>
    <s v="בש/256/2015"/>
    <x v="1"/>
    <n v="1"/>
    <m/>
    <n v="85001"/>
  </r>
  <r>
    <x v="461"/>
    <n v="490854"/>
    <x v="1"/>
    <s v="  "/>
    <n v="285"/>
    <s v="באר שבע, כלניות"/>
    <x v="2"/>
    <d v="2015-08-30T00:00:00"/>
    <x v="3"/>
    <n v="8"/>
    <s v="בש/407/2014"/>
    <x v="1"/>
    <n v="1"/>
    <m/>
    <n v="85012"/>
  </r>
  <r>
    <x v="462"/>
    <n v="493828"/>
    <x v="1"/>
    <s v="  "/>
    <n v="496"/>
    <s v="באר שבע, כלניות"/>
    <x v="2"/>
    <d v="2015-08-30T00:00:00"/>
    <x v="3"/>
    <n v="8"/>
    <s v="בש/407/2014"/>
    <x v="1"/>
    <n v="1"/>
    <m/>
    <n v="85126"/>
  </r>
  <r>
    <x v="463"/>
    <n v="541796"/>
    <x v="1"/>
    <s v="  "/>
    <n v="1111"/>
    <s v="באר שבע, כלניות"/>
    <x v="2"/>
    <d v="2016-06-27T00:00:00"/>
    <x v="1"/>
    <n v="6"/>
    <s v="בש/256/2015"/>
    <x v="1"/>
    <n v="1"/>
    <m/>
    <n v="85470"/>
  </r>
  <r>
    <x v="464"/>
    <n v="491845"/>
    <x v="1"/>
    <s v="  "/>
    <n v="451"/>
    <s v="באר שבע, כלניות"/>
    <x v="2"/>
    <d v="2015-08-30T00:00:00"/>
    <x v="3"/>
    <n v="8"/>
    <s v="בש/407/2014"/>
    <x v="1"/>
    <n v="1"/>
    <m/>
    <n v="85500"/>
  </r>
  <r>
    <x v="465"/>
    <n v="550338"/>
    <x v="1"/>
    <s v="  "/>
    <n v="384"/>
    <s v="באר שבע, כלניות"/>
    <x v="2"/>
    <d v="2016-06-27T00:00:00"/>
    <x v="1"/>
    <n v="6"/>
    <s v="בש/256/2015"/>
    <x v="1"/>
    <n v="1"/>
    <m/>
    <n v="85556"/>
  </r>
  <r>
    <x v="465"/>
    <n v="554895"/>
    <x v="1"/>
    <s v="  "/>
    <n v="1282"/>
    <s v="באר שבע, כלניות"/>
    <x v="2"/>
    <d v="2016-06-27T00:00:00"/>
    <x v="1"/>
    <n v="6"/>
    <s v="בש/256/2015"/>
    <x v="1"/>
    <n v="1"/>
    <m/>
    <n v="85556"/>
  </r>
  <r>
    <x v="466"/>
    <n v="485578"/>
    <x v="1"/>
    <s v="  "/>
    <n v="1248"/>
    <s v="באר שבע, כלניות"/>
    <x v="2"/>
    <d v="2016-06-27T00:00:00"/>
    <x v="1"/>
    <n v="6"/>
    <s v="בש/256/2015"/>
    <x v="1"/>
    <n v="1"/>
    <m/>
    <n v="85579"/>
  </r>
  <r>
    <x v="467"/>
    <n v="478174"/>
    <x v="1"/>
    <s v="  "/>
    <n v="1200"/>
    <s v="באר שבע, כלניות"/>
    <x v="2"/>
    <d v="2016-06-27T00:00:00"/>
    <x v="1"/>
    <n v="6"/>
    <s v="בש/256/2015"/>
    <x v="1"/>
    <n v="1"/>
    <m/>
    <n v="85600"/>
  </r>
  <r>
    <x v="467"/>
    <n v="478174"/>
    <x v="1"/>
    <s v="  "/>
    <n v="1367"/>
    <s v="באר שבע, כלניות"/>
    <x v="2"/>
    <d v="2016-06-27T00:00:00"/>
    <x v="1"/>
    <n v="6"/>
    <s v="בש/256/2015"/>
    <x v="1"/>
    <n v="1"/>
    <m/>
    <n v="85600"/>
  </r>
  <r>
    <x v="468"/>
    <n v="531544"/>
    <x v="1"/>
    <s v="  "/>
    <n v="1124"/>
    <s v="באר שבע, כלניות"/>
    <x v="2"/>
    <d v="2016-06-27T00:00:00"/>
    <x v="1"/>
    <n v="6"/>
    <s v="בש/256/2015"/>
    <x v="1"/>
    <n v="1"/>
    <m/>
    <n v="85900"/>
  </r>
  <r>
    <x v="468"/>
    <n v="539517"/>
    <x v="1"/>
    <s v="  "/>
    <n v="1082"/>
    <s v="באר שבע, כלניות"/>
    <x v="2"/>
    <d v="2016-06-27T00:00:00"/>
    <x v="1"/>
    <n v="6"/>
    <s v="בש/256/2015"/>
    <x v="1"/>
    <n v="1"/>
    <m/>
    <n v="85900"/>
  </r>
  <r>
    <x v="469"/>
    <n v="543504"/>
    <x v="1"/>
    <s v="  "/>
    <n v="1465"/>
    <s v="באר שבע, כלניות"/>
    <x v="2"/>
    <d v="2016-06-27T00:00:00"/>
    <x v="1"/>
    <n v="6"/>
    <s v="בש/256/2015"/>
    <x v="1"/>
    <n v="1"/>
    <m/>
    <n v="85999"/>
  </r>
  <r>
    <x v="470"/>
    <n v="470201"/>
    <x v="1"/>
    <s v="  "/>
    <n v="1162"/>
    <s v="באר שבע, כלניות"/>
    <x v="2"/>
    <d v="2016-06-27T00:00:00"/>
    <x v="1"/>
    <n v="6"/>
    <s v="בש/256/2015"/>
    <x v="1"/>
    <n v="1"/>
    <m/>
    <n v="86000"/>
  </r>
  <r>
    <x v="470"/>
    <n v="493333"/>
    <x v="1"/>
    <s v="  "/>
    <n v="138"/>
    <s v="באר שבע, כלניות"/>
    <x v="2"/>
    <d v="2015-08-30T00:00:00"/>
    <x v="3"/>
    <n v="8"/>
    <s v="בש/407/2014"/>
    <x v="1"/>
    <n v="1"/>
    <m/>
    <n v="86000"/>
  </r>
  <r>
    <x v="470"/>
    <n v="549200"/>
    <x v="1"/>
    <s v="  "/>
    <n v="1608"/>
    <s v="באר שבע, כלניות"/>
    <x v="2"/>
    <d v="2016-06-27T00:00:00"/>
    <x v="1"/>
    <n v="6"/>
    <s v="בש/256/2015"/>
    <x v="1"/>
    <n v="1"/>
    <m/>
    <n v="86000"/>
  </r>
  <r>
    <x v="471"/>
    <n v="542935"/>
    <x v="1"/>
    <s v="  "/>
    <n v="1353"/>
    <s v="באר שבע, כלניות"/>
    <x v="2"/>
    <d v="2016-06-27T00:00:00"/>
    <x v="1"/>
    <n v="6"/>
    <s v="בש/256/2015"/>
    <x v="1"/>
    <n v="1"/>
    <m/>
    <n v="86126"/>
  </r>
  <r>
    <x v="471"/>
    <n v="544643"/>
    <x v="1"/>
    <s v="  "/>
    <n v="1351"/>
    <s v="באר שבע, כלניות"/>
    <x v="2"/>
    <d v="2016-06-27T00:00:00"/>
    <x v="1"/>
    <n v="6"/>
    <s v="בש/256/2015"/>
    <x v="1"/>
    <n v="1"/>
    <m/>
    <n v="86126"/>
  </r>
  <r>
    <x v="472"/>
    <n v="514458"/>
    <x v="1"/>
    <s v="  "/>
    <n v="1275"/>
    <s v="באר שבע, כלניות"/>
    <x v="2"/>
    <d v="2016-06-27T00:00:00"/>
    <x v="1"/>
    <n v="6"/>
    <s v="בש/256/2015"/>
    <x v="1"/>
    <n v="1"/>
    <m/>
    <n v="86129"/>
  </r>
  <r>
    <x v="473"/>
    <n v="573120"/>
    <x v="1"/>
    <s v="  "/>
    <n v="1481"/>
    <s v="באר שבע, כלניות"/>
    <x v="2"/>
    <d v="2016-06-27T00:00:00"/>
    <x v="1"/>
    <n v="6"/>
    <s v="בש/256/2015"/>
    <x v="1"/>
    <n v="1"/>
    <m/>
    <n v="86470"/>
  </r>
  <r>
    <x v="474"/>
    <n v="470201"/>
    <x v="1"/>
    <s v="  "/>
    <n v="1169"/>
    <s v="באר שבע, כלניות"/>
    <x v="2"/>
    <d v="2016-06-27T00:00:00"/>
    <x v="1"/>
    <n v="6"/>
    <s v="בש/256/2015"/>
    <x v="1"/>
    <n v="1"/>
    <m/>
    <n v="86500"/>
  </r>
  <r>
    <x v="474"/>
    <n v="470201"/>
    <x v="1"/>
    <s v="  "/>
    <n v="1170"/>
    <s v="באר שבע, כלניות"/>
    <x v="2"/>
    <d v="2016-06-27T00:00:00"/>
    <x v="1"/>
    <n v="6"/>
    <s v="בש/256/2015"/>
    <x v="1"/>
    <n v="1"/>
    <m/>
    <n v="86500"/>
  </r>
  <r>
    <x v="475"/>
    <n v="525051"/>
    <x v="1"/>
    <s v="  "/>
    <n v="113"/>
    <s v="באר שבע, כלניות"/>
    <x v="2"/>
    <d v="2015-08-30T00:00:00"/>
    <x v="3"/>
    <n v="8"/>
    <s v="בש/407/2014"/>
    <x v="1"/>
    <n v="1"/>
    <m/>
    <n v="87245"/>
  </r>
  <r>
    <x v="476"/>
    <n v="550908"/>
    <x v="1"/>
    <s v="  "/>
    <n v="1103"/>
    <s v="באר שבע, כלניות"/>
    <x v="2"/>
    <d v="2016-06-27T00:00:00"/>
    <x v="1"/>
    <n v="6"/>
    <s v="בש/256/2015"/>
    <x v="1"/>
    <n v="1"/>
    <m/>
    <n v="87258"/>
  </r>
  <r>
    <x v="477"/>
    <n v="480447"/>
    <x v="1"/>
    <s v="  "/>
    <n v="150"/>
    <s v="באר שבע, כלניות"/>
    <x v="2"/>
    <d v="2015-08-30T00:00:00"/>
    <x v="3"/>
    <n v="8"/>
    <s v="בש/407/2014"/>
    <x v="1"/>
    <n v="1"/>
    <m/>
    <n v="87600"/>
  </r>
  <r>
    <x v="477"/>
    <n v="526358"/>
    <x v="1"/>
    <s v="  "/>
    <n v="668"/>
    <s v="באר שבע, כלניות"/>
    <x v="2"/>
    <d v="2015-08-30T00:00:00"/>
    <x v="3"/>
    <n v="8"/>
    <s v="בש/407/2014"/>
    <x v="1"/>
    <n v="1"/>
    <m/>
    <n v="87600"/>
  </r>
  <r>
    <x v="478"/>
    <n v="493333"/>
    <x v="1"/>
    <s v="  "/>
    <n v="333"/>
    <s v="באר שבע, כלניות"/>
    <x v="2"/>
    <d v="2015-08-30T00:00:00"/>
    <x v="3"/>
    <n v="8"/>
    <s v="בש/407/2014"/>
    <x v="1"/>
    <n v="1"/>
    <m/>
    <n v="87700"/>
  </r>
  <r>
    <x v="479"/>
    <n v="562299"/>
    <x v="1"/>
    <s v="  "/>
    <n v="92"/>
    <s v="באר שבע, כלניות"/>
    <x v="2"/>
    <d v="2016-06-27T00:00:00"/>
    <x v="1"/>
    <n v="6"/>
    <s v="בש/256/2015"/>
    <x v="1"/>
    <n v="1"/>
    <m/>
    <n v="88000"/>
  </r>
  <r>
    <x v="480"/>
    <n v="489368"/>
    <x v="1"/>
    <s v="  "/>
    <n v="459"/>
    <s v="באר שבע, כלניות"/>
    <x v="2"/>
    <d v="2015-08-30T00:00:00"/>
    <x v="3"/>
    <n v="8"/>
    <s v="בש/407/2014"/>
    <x v="1"/>
    <n v="1"/>
    <m/>
    <n v="88600"/>
  </r>
  <r>
    <x v="481"/>
    <n v="483421"/>
    <x v="1"/>
    <s v="  "/>
    <n v="249"/>
    <s v="באר שבע, כלניות"/>
    <x v="2"/>
    <d v="2015-08-30T00:00:00"/>
    <x v="3"/>
    <n v="8"/>
    <s v="בש/407/2014"/>
    <x v="1"/>
    <n v="1"/>
    <m/>
    <n v="88700"/>
  </r>
  <r>
    <x v="482"/>
    <n v="542935"/>
    <x v="1"/>
    <s v="  "/>
    <n v="1418"/>
    <s v="באר שבע, כלניות"/>
    <x v="2"/>
    <d v="2016-06-27T00:00:00"/>
    <x v="1"/>
    <n v="6"/>
    <s v="בש/256/2015"/>
    <x v="1"/>
    <n v="1"/>
    <m/>
    <n v="88864"/>
  </r>
  <r>
    <x v="483"/>
    <n v="554324"/>
    <x v="1"/>
    <s v="  "/>
    <n v="263"/>
    <s v="באר שבע, כלניות"/>
    <x v="2"/>
    <d v="2016-06-27T00:00:00"/>
    <x v="1"/>
    <n v="6"/>
    <s v="בש/256/2015"/>
    <x v="1"/>
    <n v="1"/>
    <m/>
    <n v="88888"/>
  </r>
  <r>
    <x v="483"/>
    <n v="616973"/>
    <x v="1"/>
    <s v="  "/>
    <n v="1355"/>
    <s v="באר שבע, כלניות"/>
    <x v="2"/>
    <d v="2016-06-27T00:00:00"/>
    <x v="1"/>
    <n v="6"/>
    <s v="בש/256/2015"/>
    <x v="1"/>
    <n v="1"/>
    <m/>
    <n v="88888"/>
  </r>
  <r>
    <x v="484"/>
    <n v="486717"/>
    <x v="1"/>
    <s v="  "/>
    <n v="1245"/>
    <s v="באר שבע, כלניות"/>
    <x v="2"/>
    <d v="2016-06-27T00:00:00"/>
    <x v="1"/>
    <n v="6"/>
    <s v="בש/256/2015"/>
    <x v="1"/>
    <n v="1"/>
    <m/>
    <n v="88900"/>
  </r>
  <r>
    <x v="485"/>
    <n v="490854"/>
    <x v="1"/>
    <s v="  "/>
    <n v="81"/>
    <s v="באר שבע, כלניות"/>
    <x v="2"/>
    <d v="2015-08-30T00:00:00"/>
    <x v="3"/>
    <n v="8"/>
    <s v="בש/407/2014"/>
    <x v="1"/>
    <n v="1"/>
    <m/>
    <n v="88990"/>
  </r>
  <r>
    <x v="486"/>
    <n v="541796"/>
    <x v="1"/>
    <s v="  "/>
    <n v="1076"/>
    <s v="באר שבע, כלניות"/>
    <x v="2"/>
    <d v="2016-06-27T00:00:00"/>
    <x v="1"/>
    <n v="6"/>
    <s v="בש/256/2015"/>
    <x v="1"/>
    <n v="1"/>
    <m/>
    <n v="89000"/>
  </r>
  <r>
    <x v="486"/>
    <n v="544643"/>
    <x v="1"/>
    <s v="  "/>
    <n v="1214"/>
    <s v="באר שבע, כלניות"/>
    <x v="2"/>
    <d v="2016-06-27T00:00:00"/>
    <x v="1"/>
    <n v="6"/>
    <s v="בש/256/2015"/>
    <x v="1"/>
    <n v="1"/>
    <m/>
    <n v="89000"/>
  </r>
  <r>
    <x v="487"/>
    <n v="546921"/>
    <x v="1"/>
    <s v="  "/>
    <n v="1185"/>
    <s v="באר שבע, כלניות"/>
    <x v="2"/>
    <d v="2016-06-27T00:00:00"/>
    <x v="1"/>
    <n v="6"/>
    <s v="בש/256/2015"/>
    <x v="1"/>
    <n v="1"/>
    <m/>
    <n v="89385"/>
  </r>
  <r>
    <x v="488"/>
    <n v="562299"/>
    <x v="1"/>
    <s v="  "/>
    <n v="1092"/>
    <s v="באר שבע, כלניות"/>
    <x v="2"/>
    <d v="2016-06-27T00:00:00"/>
    <x v="1"/>
    <n v="6"/>
    <s v="בש/256/2015"/>
    <x v="1"/>
    <n v="1"/>
    <m/>
    <n v="89500"/>
  </r>
  <r>
    <x v="489"/>
    <n v="492342"/>
    <x v="1"/>
    <s v="  "/>
    <n v="492"/>
    <s v="באר שבע, כלניות"/>
    <x v="2"/>
    <d v="2015-08-30T00:00:00"/>
    <x v="3"/>
    <n v="8"/>
    <s v="בש/407/2014"/>
    <x v="1"/>
    <n v="1"/>
    <m/>
    <n v="89555"/>
  </r>
  <r>
    <x v="490"/>
    <n v="571981"/>
    <x v="1"/>
    <s v="  "/>
    <n v="1503"/>
    <s v="באר שבע, כלניות"/>
    <x v="2"/>
    <d v="2016-06-27T00:00:00"/>
    <x v="1"/>
    <n v="6"/>
    <s v="בש/256/2015"/>
    <x v="1"/>
    <n v="1"/>
    <m/>
    <n v="89900"/>
  </r>
  <r>
    <x v="491"/>
    <n v="489864"/>
    <x v="1"/>
    <s v="  "/>
    <n v="279"/>
    <s v="באר שבע, כלניות"/>
    <x v="2"/>
    <d v="2015-08-30T00:00:00"/>
    <x v="3"/>
    <n v="8"/>
    <s v="בש/407/2014"/>
    <x v="1"/>
    <n v="1"/>
    <m/>
    <n v="89999"/>
  </r>
  <r>
    <x v="492"/>
    <n v="484908"/>
    <x v="1"/>
    <s v="  "/>
    <n v="36"/>
    <s v="באר שבע, כלניות"/>
    <x v="2"/>
    <d v="2015-08-30T00:00:00"/>
    <x v="3"/>
    <n v="8"/>
    <s v="בש/407/2014"/>
    <x v="1"/>
    <n v="1"/>
    <m/>
    <n v="90000"/>
  </r>
  <r>
    <x v="492"/>
    <n v="491350"/>
    <x v="1"/>
    <s v="  "/>
    <n v="291"/>
    <s v="באר שבע, כלניות"/>
    <x v="2"/>
    <d v="2015-08-30T00:00:00"/>
    <x v="3"/>
    <n v="8"/>
    <s v="בש/407/2014"/>
    <x v="1"/>
    <n v="1"/>
    <m/>
    <n v="90000"/>
  </r>
  <r>
    <x v="492"/>
    <n v="542396"/>
    <x v="1"/>
    <s v="  "/>
    <n v="206"/>
    <s v="באר שבע, כלניות"/>
    <x v="2"/>
    <d v="2015-08-30T00:00:00"/>
    <x v="3"/>
    <n v="8"/>
    <s v="בש/407/2014"/>
    <x v="1"/>
    <n v="1"/>
    <m/>
    <n v="90000"/>
  </r>
  <r>
    <x v="493"/>
    <n v="536450"/>
    <x v="1"/>
    <s v="  "/>
    <n v="332"/>
    <s v="באר שבע, כלניות"/>
    <x v="2"/>
    <d v="2015-08-30T00:00:00"/>
    <x v="3"/>
    <n v="8"/>
    <s v="בש/407/2014"/>
    <x v="1"/>
    <n v="1"/>
    <m/>
    <n v="90009"/>
  </r>
  <r>
    <x v="494"/>
    <n v="483421"/>
    <x v="1"/>
    <s v="  "/>
    <n v="248"/>
    <s v="באר שבע, כלניות"/>
    <x v="2"/>
    <d v="2015-08-30T00:00:00"/>
    <x v="3"/>
    <n v="8"/>
    <s v="בש/407/2014"/>
    <x v="1"/>
    <n v="1"/>
    <m/>
    <n v="90018"/>
  </r>
  <r>
    <x v="495"/>
    <n v="566855"/>
    <x v="1"/>
    <s v="  "/>
    <n v="224"/>
    <s v="באר שבע, כלניות"/>
    <x v="2"/>
    <d v="2016-06-27T00:00:00"/>
    <x v="1"/>
    <n v="6"/>
    <s v="בש/256/2015"/>
    <x v="1"/>
    <n v="1"/>
    <m/>
    <n v="90072"/>
  </r>
  <r>
    <x v="496"/>
    <n v="544643"/>
    <x v="1"/>
    <s v="  "/>
    <n v="1083"/>
    <s v="באר שבע, כלניות"/>
    <x v="2"/>
    <d v="2016-06-27T00:00:00"/>
    <x v="1"/>
    <n v="6"/>
    <s v="בש/256/2015"/>
    <x v="1"/>
    <n v="1"/>
    <m/>
    <n v="90099"/>
  </r>
  <r>
    <x v="497"/>
    <n v="489368"/>
    <x v="1"/>
    <s v="  "/>
    <n v="494"/>
    <s v="באר שבע, כלניות"/>
    <x v="2"/>
    <d v="2015-08-30T00:00:00"/>
    <x v="3"/>
    <n v="8"/>
    <s v="בש/407/2014"/>
    <x v="1"/>
    <n v="1"/>
    <m/>
    <n v="90126"/>
  </r>
  <r>
    <x v="497"/>
    <n v="491350"/>
    <x v="1"/>
    <s v="  "/>
    <n v="491"/>
    <s v="באר שבע, כלניות"/>
    <x v="2"/>
    <d v="2015-08-30T00:00:00"/>
    <x v="3"/>
    <n v="8"/>
    <s v="בש/407/2014"/>
    <x v="1"/>
    <n v="1"/>
    <m/>
    <n v="90126"/>
  </r>
  <r>
    <x v="498"/>
    <n v="493333"/>
    <x v="1"/>
    <s v="  "/>
    <n v="82"/>
    <s v="באר שבע, כלניות"/>
    <x v="2"/>
    <d v="2015-08-30T00:00:00"/>
    <x v="3"/>
    <n v="8"/>
    <s v="בש/407/2014"/>
    <x v="1"/>
    <n v="1"/>
    <m/>
    <n v="90605"/>
  </r>
  <r>
    <x v="499"/>
    <n v="546921"/>
    <x v="1"/>
    <s v="  "/>
    <n v="1098"/>
    <s v="באר שבע, כלניות"/>
    <x v="2"/>
    <d v="2016-06-27T00:00:00"/>
    <x v="1"/>
    <n v="6"/>
    <s v="בש/256/2015"/>
    <x v="1"/>
    <n v="1"/>
    <m/>
    <n v="90665"/>
  </r>
  <r>
    <x v="500"/>
    <n v="490359"/>
    <x v="1"/>
    <s v="  "/>
    <n v="216"/>
    <s v="באר שבע, כלניות"/>
    <x v="2"/>
    <d v="2015-08-30T00:00:00"/>
    <x v="3"/>
    <n v="8"/>
    <s v="בש/407/2014"/>
    <x v="1"/>
    <n v="1"/>
    <m/>
    <n v="90800"/>
  </r>
  <r>
    <x v="501"/>
    <n v="491350"/>
    <x v="1"/>
    <s v="  "/>
    <n v="458"/>
    <s v="באר שבע, כלניות"/>
    <x v="2"/>
    <d v="2015-08-30T00:00:00"/>
    <x v="3"/>
    <n v="8"/>
    <s v="בש/407/2014"/>
    <x v="1"/>
    <n v="1"/>
    <m/>
    <n v="90900"/>
  </r>
  <r>
    <x v="502"/>
    <n v="527528"/>
    <x v="1"/>
    <s v="  "/>
    <n v="363"/>
    <s v="באר שבע, כלניות"/>
    <x v="2"/>
    <d v="2015-08-30T00:00:00"/>
    <x v="3"/>
    <n v="8"/>
    <s v="בש/407/2014"/>
    <x v="1"/>
    <n v="1"/>
    <m/>
    <n v="91000"/>
  </r>
  <r>
    <x v="502"/>
    <n v="545782"/>
    <x v="1"/>
    <s v="  "/>
    <n v="1035"/>
    <s v="באר שבע, כלניות"/>
    <x v="2"/>
    <d v="2016-06-27T00:00:00"/>
    <x v="1"/>
    <n v="6"/>
    <s v="בש/256/2015"/>
    <x v="1"/>
    <n v="1"/>
    <m/>
    <n v="91000"/>
  </r>
  <r>
    <x v="502"/>
    <n v="549769"/>
    <x v="1"/>
    <s v="  "/>
    <n v="1108"/>
    <s v="באר שבע, כלניות"/>
    <x v="2"/>
    <d v="2016-06-27T00:00:00"/>
    <x v="1"/>
    <n v="6"/>
    <s v="בש/256/2015"/>
    <x v="1"/>
    <n v="1"/>
    <m/>
    <n v="91000"/>
  </r>
  <r>
    <x v="503"/>
    <n v="489368"/>
    <x v="1"/>
    <s v="  "/>
    <n v="79"/>
    <s v="באר שבע, כלניות"/>
    <x v="2"/>
    <d v="2015-08-30T00:00:00"/>
    <x v="3"/>
    <n v="8"/>
    <s v="בש/407/2014"/>
    <x v="1"/>
    <n v="1"/>
    <m/>
    <n v="91101"/>
  </r>
  <r>
    <x v="504"/>
    <n v="552047"/>
    <x v="1"/>
    <s v="  "/>
    <n v="1289"/>
    <s v="באר שבע, כלניות"/>
    <x v="2"/>
    <d v="2016-06-27T00:00:00"/>
    <x v="1"/>
    <n v="6"/>
    <s v="בש/256/2015"/>
    <x v="1"/>
    <n v="1"/>
    <m/>
    <n v="91111"/>
  </r>
  <r>
    <x v="505"/>
    <n v="544074"/>
    <x v="1"/>
    <s v="  "/>
    <n v="1284"/>
    <s v="באר שבע, כלניות"/>
    <x v="2"/>
    <d v="2016-06-27T00:00:00"/>
    <x v="1"/>
    <n v="6"/>
    <s v="בש/256/2015"/>
    <x v="1"/>
    <n v="1"/>
    <m/>
    <n v="91200"/>
  </r>
  <r>
    <x v="506"/>
    <n v="562868"/>
    <x v="1"/>
    <s v="  "/>
    <n v="350"/>
    <s v="באר שבע, כלניות"/>
    <x v="2"/>
    <d v="2016-06-27T00:00:00"/>
    <x v="1"/>
    <n v="6"/>
    <s v="בש/256/2015"/>
    <x v="1"/>
    <n v="1"/>
    <m/>
    <n v="91448"/>
  </r>
  <r>
    <x v="507"/>
    <n v="557742"/>
    <x v="1"/>
    <s v="  "/>
    <n v="1456"/>
    <s v="באר שבע, כלניות"/>
    <x v="2"/>
    <d v="2016-06-27T00:00:00"/>
    <x v="1"/>
    <n v="6"/>
    <s v="בש/256/2015"/>
    <x v="1"/>
    <n v="1"/>
    <m/>
    <n v="91500"/>
  </r>
  <r>
    <x v="508"/>
    <n v="542935"/>
    <x v="1"/>
    <s v="  "/>
    <n v="1583"/>
    <s v="באר שבע, כלניות"/>
    <x v="2"/>
    <d v="2016-06-27T00:00:00"/>
    <x v="1"/>
    <n v="6"/>
    <s v="בש/256/2015"/>
    <x v="1"/>
    <n v="1"/>
    <m/>
    <n v="91521"/>
  </r>
  <r>
    <x v="509"/>
    <n v="490854"/>
    <x v="1"/>
    <s v="  "/>
    <n v="125"/>
    <s v="באר שבע, כלניות"/>
    <x v="2"/>
    <d v="2015-08-30T00:00:00"/>
    <x v="3"/>
    <n v="8"/>
    <s v="בש/407/2014"/>
    <x v="1"/>
    <n v="1"/>
    <m/>
    <n v="91555"/>
  </r>
  <r>
    <x v="510"/>
    <n v="486394"/>
    <x v="1"/>
    <s v="  "/>
    <n v="521"/>
    <s v="באר שבע, כלניות"/>
    <x v="2"/>
    <d v="2015-08-30T00:00:00"/>
    <x v="3"/>
    <n v="8"/>
    <s v="בש/407/2014"/>
    <x v="1"/>
    <n v="1"/>
    <m/>
    <n v="91901"/>
  </r>
  <r>
    <x v="511"/>
    <n v="479951"/>
    <x v="1"/>
    <s v="  "/>
    <n v="146"/>
    <s v="באר שבע, כלניות"/>
    <x v="2"/>
    <d v="2015-08-30T00:00:00"/>
    <x v="3"/>
    <n v="8"/>
    <s v="בש/407/2014"/>
    <x v="1"/>
    <n v="1"/>
    <m/>
    <n v="92000"/>
  </r>
  <r>
    <x v="511"/>
    <n v="492342"/>
    <x v="1"/>
    <s v="  "/>
    <n v="106"/>
    <s v="באר שבע, כלניות"/>
    <x v="2"/>
    <d v="2015-08-30T00:00:00"/>
    <x v="3"/>
    <n v="8"/>
    <s v="בש/407/2014"/>
    <x v="1"/>
    <n v="1"/>
    <m/>
    <n v="92000"/>
  </r>
  <r>
    <x v="512"/>
    <n v="484908"/>
    <x v="1"/>
    <s v="  "/>
    <n v="508"/>
    <s v="באר שבע, כלניות"/>
    <x v="2"/>
    <d v="2015-08-30T00:00:00"/>
    <x v="3"/>
    <n v="8"/>
    <s v="בש/407/2014"/>
    <x v="1"/>
    <n v="1"/>
    <m/>
    <n v="92001"/>
  </r>
  <r>
    <x v="513"/>
    <n v="541796"/>
    <x v="1"/>
    <s v="  "/>
    <n v="1578"/>
    <s v="באר שבע, כלניות"/>
    <x v="2"/>
    <d v="2016-06-27T00:00:00"/>
    <x v="1"/>
    <n v="6"/>
    <s v="בש/256/2015"/>
    <x v="1"/>
    <n v="1"/>
    <m/>
    <n v="92092"/>
  </r>
  <r>
    <x v="514"/>
    <n v="489864"/>
    <x v="1"/>
    <s v="  "/>
    <n v="352"/>
    <s v="באר שבע, כלניות"/>
    <x v="2"/>
    <d v="2015-08-30T00:00:00"/>
    <x v="3"/>
    <n v="8"/>
    <s v="בש/407/2014"/>
    <x v="1"/>
    <n v="1"/>
    <m/>
    <n v="92210"/>
  </r>
  <r>
    <x v="515"/>
    <n v="543504"/>
    <x v="1"/>
    <s v="  "/>
    <n v="1142"/>
    <s v="באר שבע, כלניות"/>
    <x v="2"/>
    <d v="2016-06-27T00:00:00"/>
    <x v="1"/>
    <n v="6"/>
    <s v="בש/256/2015"/>
    <x v="1"/>
    <n v="1"/>
    <m/>
    <n v="92222"/>
  </r>
  <r>
    <x v="516"/>
    <n v="544074"/>
    <x v="1"/>
    <s v="  "/>
    <n v="1544"/>
    <s v="באר שבע, כלניות"/>
    <x v="2"/>
    <d v="2016-06-27T00:00:00"/>
    <x v="1"/>
    <n v="6"/>
    <s v="בש/256/2015"/>
    <x v="1"/>
    <n v="1"/>
    <m/>
    <n v="92244"/>
  </r>
  <r>
    <x v="517"/>
    <n v="493828"/>
    <x v="1"/>
    <s v="  "/>
    <n v="349"/>
    <s v="באר שבע, כלניות"/>
    <x v="2"/>
    <d v="2015-08-30T00:00:00"/>
    <x v="3"/>
    <n v="8"/>
    <s v="בש/407/2014"/>
    <x v="1"/>
    <n v="1"/>
    <m/>
    <n v="92290"/>
  </r>
  <r>
    <x v="518"/>
    <n v="457672"/>
    <x v="1"/>
    <s v="  "/>
    <n v="1397"/>
    <s v="באר שבע, כלניות"/>
    <x v="2"/>
    <d v="2016-06-27T00:00:00"/>
    <x v="1"/>
    <n v="6"/>
    <s v="בש/256/2015"/>
    <x v="1"/>
    <n v="1"/>
    <m/>
    <n v="92328"/>
  </r>
  <r>
    <x v="519"/>
    <n v="483421"/>
    <x v="1"/>
    <s v="  "/>
    <n v="270"/>
    <s v="באר שבע, כלניות"/>
    <x v="2"/>
    <d v="2015-08-30T00:00:00"/>
    <x v="3"/>
    <n v="8"/>
    <s v="בש/407/2014"/>
    <x v="1"/>
    <n v="1"/>
    <m/>
    <n v="92501"/>
  </r>
  <r>
    <x v="520"/>
    <n v="542935"/>
    <x v="1"/>
    <s v="  "/>
    <n v="1543"/>
    <s v="באר שבע, כלניות"/>
    <x v="2"/>
    <d v="2016-06-27T00:00:00"/>
    <x v="1"/>
    <n v="6"/>
    <s v="בש/256/2015"/>
    <x v="1"/>
    <n v="1"/>
    <m/>
    <n v="93217"/>
  </r>
  <r>
    <x v="521"/>
    <n v="493828"/>
    <x v="1"/>
    <s v="  "/>
    <n v="105"/>
    <s v="באר שבע, כלניות"/>
    <x v="2"/>
    <d v="2015-08-30T00:00:00"/>
    <x v="3"/>
    <n v="8"/>
    <s v="בש/407/2014"/>
    <x v="1"/>
    <n v="1"/>
    <m/>
    <n v="93550"/>
  </r>
  <r>
    <x v="522"/>
    <n v="575397"/>
    <x v="1"/>
    <s v="  "/>
    <n v="1479"/>
    <s v="באר שבע, כלניות"/>
    <x v="2"/>
    <d v="2016-06-27T00:00:00"/>
    <x v="1"/>
    <n v="6"/>
    <s v="בש/256/2015"/>
    <x v="1"/>
    <n v="1"/>
    <m/>
    <n v="93710"/>
  </r>
  <r>
    <x v="523"/>
    <n v="482430"/>
    <x v="1"/>
    <s v="  "/>
    <n v="257"/>
    <s v="באר שבע, כלניות"/>
    <x v="2"/>
    <d v="2015-08-30T00:00:00"/>
    <x v="3"/>
    <n v="8"/>
    <s v="בש/407/2014"/>
    <x v="1"/>
    <n v="1"/>
    <m/>
    <n v="93755"/>
  </r>
  <r>
    <x v="524"/>
    <n v="544074"/>
    <x v="1"/>
    <s v="  "/>
    <n v="1352"/>
    <s v="באר שבע, כלניות"/>
    <x v="2"/>
    <d v="2016-06-27T00:00:00"/>
    <x v="1"/>
    <n v="6"/>
    <s v="בש/256/2015"/>
    <x v="1"/>
    <n v="1"/>
    <m/>
    <n v="93777"/>
  </r>
  <r>
    <x v="525"/>
    <n v="492342"/>
    <x v="1"/>
    <s v="  "/>
    <n v="339"/>
    <s v="באר שבע, כלניות"/>
    <x v="2"/>
    <d v="2015-08-30T00:00:00"/>
    <x v="3"/>
    <n v="8"/>
    <s v="בש/407/2014"/>
    <x v="1"/>
    <n v="1"/>
    <m/>
    <n v="93780"/>
  </r>
  <r>
    <x v="525"/>
    <n v="494324"/>
    <x v="1"/>
    <s v="  "/>
    <n v="341"/>
    <s v="באר שבע, כלניות"/>
    <x v="2"/>
    <d v="2015-08-30T00:00:00"/>
    <x v="3"/>
    <n v="8"/>
    <s v="בש/407/2014"/>
    <x v="1"/>
    <n v="1"/>
    <m/>
    <n v="93780"/>
  </r>
  <r>
    <x v="526"/>
    <n v="493828"/>
    <x v="1"/>
    <s v="  "/>
    <n v="284"/>
    <s v="באר שבע, כלניות"/>
    <x v="2"/>
    <d v="2015-08-30T00:00:00"/>
    <x v="3"/>
    <n v="8"/>
    <s v="בש/407/2014"/>
    <x v="1"/>
    <n v="1"/>
    <m/>
    <n v="93900"/>
  </r>
  <r>
    <x v="527"/>
    <n v="484908"/>
    <x v="1"/>
    <s v="  "/>
    <n v="376"/>
    <s v="באר שבע, כלניות"/>
    <x v="2"/>
    <d v="2015-08-30T00:00:00"/>
    <x v="3"/>
    <n v="8"/>
    <s v="בש/407/2014"/>
    <x v="1"/>
    <n v="1"/>
    <m/>
    <n v="93999"/>
  </r>
  <r>
    <x v="528"/>
    <n v="482430"/>
    <x v="1"/>
    <s v="  "/>
    <n v="223"/>
    <s v="באר שבע, כלניות"/>
    <x v="2"/>
    <d v="2015-08-30T00:00:00"/>
    <x v="3"/>
    <n v="8"/>
    <s v="בש/407/2014"/>
    <x v="1"/>
    <n v="1"/>
    <m/>
    <n v="94000"/>
  </r>
  <r>
    <x v="528"/>
    <n v="485403"/>
    <x v="1"/>
    <s v="  "/>
    <n v="215"/>
    <s v="באר שבע, כלניות"/>
    <x v="2"/>
    <d v="2015-08-30T00:00:00"/>
    <x v="3"/>
    <n v="8"/>
    <s v="בש/407/2014"/>
    <x v="1"/>
    <n v="1"/>
    <m/>
    <n v="94000"/>
  </r>
  <r>
    <x v="528"/>
    <n v="556034"/>
    <x v="1"/>
    <s v="  "/>
    <n v="1017"/>
    <s v="באר שבע, כלניות"/>
    <x v="2"/>
    <d v="2016-06-27T00:00:00"/>
    <x v="1"/>
    <n v="6"/>
    <s v="בש/256/2015"/>
    <x v="1"/>
    <n v="1"/>
    <m/>
    <n v="94000"/>
  </r>
  <r>
    <x v="529"/>
    <n v="483916"/>
    <x v="1"/>
    <s v="  "/>
    <n v="65"/>
    <s v="באר שבע, כלניות"/>
    <x v="2"/>
    <d v="2015-08-30T00:00:00"/>
    <x v="3"/>
    <n v="8"/>
    <s v="בש/407/2014"/>
    <x v="1"/>
    <n v="1"/>
    <m/>
    <n v="94117"/>
  </r>
  <r>
    <x v="530"/>
    <n v="490359"/>
    <x v="1"/>
    <s v="  "/>
    <n v="456"/>
    <s v="באר שבע, כלניות"/>
    <x v="2"/>
    <d v="2015-08-30T00:00:00"/>
    <x v="3"/>
    <n v="8"/>
    <s v="בש/407/2014"/>
    <x v="1"/>
    <n v="1"/>
    <m/>
    <n v="94222"/>
  </r>
  <r>
    <x v="531"/>
    <n v="493333"/>
    <x v="1"/>
    <s v="  "/>
    <n v="402"/>
    <s v="באר שבע, כלניות"/>
    <x v="2"/>
    <d v="2015-08-30T00:00:00"/>
    <x v="3"/>
    <n v="8"/>
    <s v="בש/407/2014"/>
    <x v="1"/>
    <n v="1"/>
    <m/>
    <n v="94480"/>
  </r>
  <r>
    <x v="532"/>
    <n v="540087"/>
    <x v="1"/>
    <s v="  "/>
    <n v="1116"/>
    <s v="באר שבע, כלניות"/>
    <x v="2"/>
    <d v="2016-06-27T00:00:00"/>
    <x v="1"/>
    <n v="6"/>
    <s v="בש/256/2015"/>
    <x v="1"/>
    <n v="1"/>
    <m/>
    <n v="94555"/>
  </r>
  <r>
    <x v="533"/>
    <n v="489386"/>
    <x v="1"/>
    <s v="  "/>
    <n v="463"/>
    <s v="באר שבע, כלניות"/>
    <x v="2"/>
    <d v="2015-08-30T00:00:00"/>
    <x v="3"/>
    <n v="8"/>
    <s v="בש/407/2014"/>
    <x v="1"/>
    <n v="1"/>
    <m/>
    <n v="94588"/>
  </r>
  <r>
    <x v="534"/>
    <n v="479456"/>
    <x v="1"/>
    <s v="  "/>
    <n v="37"/>
    <s v="באר שבע, כלניות"/>
    <x v="2"/>
    <d v="2015-08-30T00:00:00"/>
    <x v="3"/>
    <n v="8"/>
    <s v="בש/407/2014"/>
    <x v="1"/>
    <n v="1"/>
    <m/>
    <n v="95000"/>
  </r>
  <r>
    <x v="534"/>
    <n v="481934"/>
    <x v="1"/>
    <s v="  "/>
    <n v="69"/>
    <s v="באר שבע, כלניות"/>
    <x v="2"/>
    <d v="2015-08-30T00:00:00"/>
    <x v="3"/>
    <n v="8"/>
    <s v="בש/407/2014"/>
    <x v="1"/>
    <n v="1"/>
    <m/>
    <n v="95000"/>
  </r>
  <r>
    <x v="534"/>
    <n v="484413"/>
    <x v="1"/>
    <s v="  "/>
    <n v="35"/>
    <s v="באר שבע, כלניות"/>
    <x v="2"/>
    <d v="2015-08-30T00:00:00"/>
    <x v="3"/>
    <n v="8"/>
    <s v="בש/407/2014"/>
    <x v="1"/>
    <n v="1"/>
    <m/>
    <n v="95000"/>
  </r>
  <r>
    <x v="534"/>
    <n v="507210"/>
    <x v="1"/>
    <s v="  "/>
    <n v="117"/>
    <s v="באר שבע, כלניות"/>
    <x v="2"/>
    <d v="2015-08-30T00:00:00"/>
    <x v="3"/>
    <n v="8"/>
    <s v="בש/407/2014"/>
    <x v="1"/>
    <n v="1"/>
    <m/>
    <n v="95000"/>
  </r>
  <r>
    <x v="534"/>
    <n v="556034"/>
    <x v="1"/>
    <s v="  "/>
    <n v="1050"/>
    <s v="באר שבע, כלניות"/>
    <x v="2"/>
    <d v="2016-06-27T00:00:00"/>
    <x v="1"/>
    <n v="6"/>
    <s v="בש/256/2015"/>
    <x v="1"/>
    <n v="1"/>
    <m/>
    <n v="95000"/>
  </r>
  <r>
    <x v="534"/>
    <n v="560021"/>
    <x v="1"/>
    <s v="  "/>
    <n v="1125"/>
    <s v="באר שבע, כלניות"/>
    <x v="2"/>
    <d v="2016-06-27T00:00:00"/>
    <x v="1"/>
    <n v="6"/>
    <s v="בש/256/2015"/>
    <x v="1"/>
    <n v="1"/>
    <m/>
    <n v="95000"/>
  </r>
  <r>
    <x v="535"/>
    <n v="530323"/>
    <x v="1"/>
    <s v="  "/>
    <n v="676"/>
    <s v="באר שבע, כלניות"/>
    <x v="2"/>
    <d v="2015-08-30T00:00:00"/>
    <x v="3"/>
    <n v="8"/>
    <s v="בש/407/2014"/>
    <x v="1"/>
    <n v="1"/>
    <m/>
    <n v="95488"/>
  </r>
  <r>
    <x v="536"/>
    <n v="488377"/>
    <x v="1"/>
    <s v="  "/>
    <n v="124"/>
    <s v="באר שבע, כלניות"/>
    <x v="2"/>
    <d v="2015-08-30T00:00:00"/>
    <x v="3"/>
    <n v="8"/>
    <s v="בש/407/2014"/>
    <x v="1"/>
    <n v="1"/>
    <m/>
    <n v="95555"/>
  </r>
  <r>
    <x v="536"/>
    <n v="488873"/>
    <x v="1"/>
    <s v="  "/>
    <n v="225"/>
    <s v="באר שבע, כלניות"/>
    <x v="2"/>
    <d v="2015-08-30T00:00:00"/>
    <x v="3"/>
    <n v="8"/>
    <s v="בש/407/2014"/>
    <x v="1"/>
    <n v="1"/>
    <m/>
    <n v="95555"/>
  </r>
  <r>
    <x v="537"/>
    <n v="478174"/>
    <x v="1"/>
    <s v="  "/>
    <n v="1369"/>
    <s v="באר שבע, כלניות"/>
    <x v="2"/>
    <d v="2016-06-27T00:00:00"/>
    <x v="1"/>
    <n v="6"/>
    <s v="בש/256/2015"/>
    <x v="1"/>
    <n v="1"/>
    <m/>
    <n v="95600"/>
  </r>
  <r>
    <x v="538"/>
    <n v="493828"/>
    <x v="1"/>
    <s v="  "/>
    <n v="446"/>
    <s v="באר שבע, כלניות"/>
    <x v="2"/>
    <d v="2015-08-30T00:00:00"/>
    <x v="3"/>
    <n v="8"/>
    <s v="בש/407/2014"/>
    <x v="1"/>
    <n v="1"/>
    <m/>
    <n v="95720"/>
  </r>
  <r>
    <x v="538"/>
    <n v="554324"/>
    <x v="1"/>
    <s v="  "/>
    <n v="186"/>
    <s v="באר שבע, כלניות"/>
    <x v="2"/>
    <d v="2016-06-27T00:00:00"/>
    <x v="1"/>
    <n v="6"/>
    <s v="בש/256/2015"/>
    <x v="1"/>
    <n v="1"/>
    <m/>
    <n v="95720"/>
  </r>
  <r>
    <x v="539"/>
    <n v="493828"/>
    <x v="1"/>
    <s v="  "/>
    <n v="432"/>
    <s v="באר שבע, כלניות"/>
    <x v="2"/>
    <d v="2015-08-30T00:00:00"/>
    <x v="3"/>
    <n v="8"/>
    <s v="בש/407/2014"/>
    <x v="1"/>
    <n v="1"/>
    <m/>
    <n v="95876"/>
  </r>
  <r>
    <x v="540"/>
    <n v="539517"/>
    <x v="1"/>
    <s v="  "/>
    <n v="1031"/>
    <s v="באר שבע, כלניות"/>
    <x v="2"/>
    <d v="2016-06-27T00:00:00"/>
    <x v="1"/>
    <n v="6"/>
    <s v="בש/256/2015"/>
    <x v="1"/>
    <n v="1"/>
    <m/>
    <n v="95948"/>
  </r>
  <r>
    <x v="541"/>
    <n v="481439"/>
    <x v="1"/>
    <s v="  "/>
    <n v="148"/>
    <s v="באר שבע, כלניות"/>
    <x v="2"/>
    <d v="2015-08-30T00:00:00"/>
    <x v="3"/>
    <n v="8"/>
    <s v="בש/407/2014"/>
    <x v="1"/>
    <n v="1"/>
    <m/>
    <n v="96500"/>
  </r>
  <r>
    <x v="542"/>
    <n v="555464"/>
    <x v="1"/>
    <s v="  "/>
    <n v="375"/>
    <s v="באר שבע, כלניות"/>
    <x v="2"/>
    <d v="2016-06-27T00:00:00"/>
    <x v="1"/>
    <n v="6"/>
    <s v="בש/256/2015"/>
    <x v="1"/>
    <n v="1"/>
    <m/>
    <n v="96550"/>
  </r>
  <r>
    <x v="543"/>
    <n v="546921"/>
    <x v="1"/>
    <s v="  "/>
    <n v="1420"/>
    <s v="באר שבע, כלניות"/>
    <x v="2"/>
    <d v="2016-06-27T00:00:00"/>
    <x v="1"/>
    <n v="6"/>
    <s v="בש/256/2015"/>
    <x v="1"/>
    <n v="1"/>
    <m/>
    <n v="96777"/>
  </r>
  <r>
    <x v="544"/>
    <n v="474500"/>
    <x v="1"/>
    <s v="  "/>
    <n v="510"/>
    <s v="באר שבע, כלניות"/>
    <x v="2"/>
    <d v="2015-08-30T00:00:00"/>
    <x v="3"/>
    <n v="8"/>
    <s v="בש/407/2014"/>
    <x v="1"/>
    <n v="1"/>
    <m/>
    <n v="96968"/>
  </r>
  <r>
    <x v="545"/>
    <n v="580523"/>
    <x v="1"/>
    <s v="  "/>
    <n v="1026"/>
    <s v="באר שבע, כלניות"/>
    <x v="2"/>
    <d v="2016-06-27T00:00:00"/>
    <x v="1"/>
    <n v="6"/>
    <s v="בש/256/2015"/>
    <x v="1"/>
    <n v="1"/>
    <m/>
    <n v="97555"/>
  </r>
  <r>
    <x v="546"/>
    <n v="564576"/>
    <x v="1"/>
    <s v="  "/>
    <n v="99"/>
    <s v="באר שבע, כלניות"/>
    <x v="2"/>
    <d v="2016-06-27T00:00:00"/>
    <x v="1"/>
    <n v="6"/>
    <s v="בש/256/2015"/>
    <x v="1"/>
    <n v="1"/>
    <m/>
    <n v="98300"/>
  </r>
  <r>
    <x v="547"/>
    <n v="484908"/>
    <x v="1"/>
    <s v="  "/>
    <n v="470"/>
    <s v="באר שבע, כלניות"/>
    <x v="2"/>
    <d v="2015-08-30T00:00:00"/>
    <x v="3"/>
    <n v="8"/>
    <s v="בש/407/2014"/>
    <x v="1"/>
    <n v="1"/>
    <m/>
    <n v="98400"/>
  </r>
  <r>
    <x v="548"/>
    <n v="491350"/>
    <x v="1"/>
    <s v="  "/>
    <n v="454"/>
    <s v="באר שבע, כלניות"/>
    <x v="2"/>
    <d v="2015-08-30T00:00:00"/>
    <x v="3"/>
    <n v="8"/>
    <s v="בש/407/2014"/>
    <x v="1"/>
    <n v="1"/>
    <m/>
    <n v="98500"/>
  </r>
  <r>
    <x v="549"/>
    <n v="470201"/>
    <x v="1"/>
    <s v="  "/>
    <n v="1172"/>
    <s v="באר שבע, כלניות"/>
    <x v="2"/>
    <d v="2016-06-27T00:00:00"/>
    <x v="1"/>
    <n v="6"/>
    <s v="בש/256/2015"/>
    <x v="1"/>
    <n v="1"/>
    <m/>
    <n v="99000"/>
  </r>
  <r>
    <x v="550"/>
    <n v="487385"/>
    <x v="1"/>
    <s v="  "/>
    <n v="94"/>
    <s v="באר שבע, כלניות"/>
    <x v="2"/>
    <d v="2015-08-30T00:00:00"/>
    <x v="3"/>
    <n v="8"/>
    <s v="בש/407/2014"/>
    <x v="1"/>
    <n v="1"/>
    <m/>
    <n v="99501"/>
  </r>
  <r>
    <x v="551"/>
    <n v="455962"/>
    <x v="1"/>
    <s v="  "/>
    <n v="1191"/>
    <s v="באר שבע, כלניות"/>
    <x v="2"/>
    <d v="2016-06-27T00:00:00"/>
    <x v="1"/>
    <n v="6"/>
    <s v="בש/256/2015"/>
    <x v="1"/>
    <n v="1"/>
    <m/>
    <n v="99555"/>
  </r>
  <r>
    <x v="552"/>
    <n v="514458"/>
    <x v="1"/>
    <s v="  "/>
    <n v="1267"/>
    <s v="באר שבע, כלניות"/>
    <x v="2"/>
    <d v="2016-06-27T00:00:00"/>
    <x v="1"/>
    <n v="6"/>
    <s v="בש/256/2015"/>
    <x v="1"/>
    <n v="1"/>
    <m/>
    <n v="99570"/>
  </r>
  <r>
    <x v="553"/>
    <n v="542364"/>
    <x v="1"/>
    <s v="  "/>
    <n v="1429"/>
    <s v="באר שבע, כלניות"/>
    <x v="2"/>
    <d v="2016-06-27T00:00:00"/>
    <x v="1"/>
    <n v="6"/>
    <s v="בש/256/2015"/>
    <x v="1"/>
    <n v="1"/>
    <m/>
    <n v="99999"/>
  </r>
  <r>
    <x v="554"/>
    <n v="456533"/>
    <x v="1"/>
    <s v="  "/>
    <n v="1133"/>
    <s v="באר שבע, כלניות"/>
    <x v="2"/>
    <d v="2016-06-27T00:00:00"/>
    <x v="1"/>
    <n v="6"/>
    <s v="בש/256/2015"/>
    <x v="1"/>
    <n v="1"/>
    <m/>
    <n v="100000"/>
  </r>
  <r>
    <x v="554"/>
    <n v="490854"/>
    <x v="1"/>
    <s v="  "/>
    <n v="531"/>
    <s v="באר שבע, כלניות"/>
    <x v="2"/>
    <d v="2015-08-30T00:00:00"/>
    <x v="3"/>
    <n v="8"/>
    <s v="בש/407/2014"/>
    <x v="1"/>
    <n v="1"/>
    <m/>
    <n v="100000"/>
  </r>
  <r>
    <x v="554"/>
    <n v="543504"/>
    <x v="1"/>
    <s v="  "/>
    <n v="1140"/>
    <s v="באר שבע, כלניות"/>
    <x v="2"/>
    <d v="2016-06-27T00:00:00"/>
    <x v="1"/>
    <n v="6"/>
    <s v="בש/256/2015"/>
    <x v="1"/>
    <n v="1"/>
    <m/>
    <n v="100000"/>
  </r>
  <r>
    <x v="554"/>
    <n v="548839"/>
    <x v="1"/>
    <s v="  "/>
    <n v="342"/>
    <s v="באר שבע, כלניות"/>
    <x v="2"/>
    <d v="2015-08-30T00:00:00"/>
    <x v="3"/>
    <n v="8"/>
    <s v="בש/407/2014"/>
    <x v="1"/>
    <n v="1"/>
    <m/>
    <n v="100000"/>
  </r>
  <r>
    <x v="554"/>
    <n v="556034"/>
    <x v="1"/>
    <s v="  "/>
    <n v="1337"/>
    <s v="באר שבע, כלניות"/>
    <x v="2"/>
    <d v="2016-06-27T00:00:00"/>
    <x v="1"/>
    <n v="6"/>
    <s v="בש/256/2015"/>
    <x v="1"/>
    <n v="1"/>
    <m/>
    <n v="100000"/>
  </r>
  <r>
    <x v="554"/>
    <n v="569435"/>
    <x v="1"/>
    <s v="  "/>
    <n v="1302"/>
    <s v="באר שבע, כלניות"/>
    <x v="2"/>
    <d v="2016-06-27T00:00:00"/>
    <x v="1"/>
    <n v="6"/>
    <s v="בש/256/2015"/>
    <x v="1"/>
    <n v="1"/>
    <m/>
    <n v="100000"/>
  </r>
  <r>
    <x v="555"/>
    <n v="559450"/>
    <x v="1"/>
    <s v="  "/>
    <n v="477"/>
    <s v="באר שבע, כלניות"/>
    <x v="2"/>
    <d v="2016-06-27T00:00:00"/>
    <x v="1"/>
    <n v="6"/>
    <s v="בש/256/2015"/>
    <x v="1"/>
    <n v="1"/>
    <m/>
    <n v="100018"/>
  </r>
  <r>
    <x v="555"/>
    <n v="569702"/>
    <x v="1"/>
    <s v="  "/>
    <n v="68"/>
    <s v="באר שבע, כלניות"/>
    <x v="2"/>
    <d v="2016-06-27T00:00:00"/>
    <x v="1"/>
    <n v="6"/>
    <s v="בש/256/2015"/>
    <x v="1"/>
    <n v="1"/>
    <m/>
    <n v="100018"/>
  </r>
  <r>
    <x v="556"/>
    <n v="562299"/>
    <x v="1"/>
    <s v="  "/>
    <n v="1457"/>
    <s v="באר שבע, כלניות"/>
    <x v="2"/>
    <d v="2016-06-27T00:00:00"/>
    <x v="1"/>
    <n v="6"/>
    <s v="בש/256/2015"/>
    <x v="1"/>
    <n v="1"/>
    <m/>
    <n v="100500"/>
  </r>
  <r>
    <x v="556"/>
    <n v="573689"/>
    <x v="1"/>
    <s v="  "/>
    <n v="1348"/>
    <s v="באר שבע, כלניות"/>
    <x v="2"/>
    <d v="2016-06-27T00:00:00"/>
    <x v="1"/>
    <n v="6"/>
    <s v="בש/256/2015"/>
    <x v="1"/>
    <n v="1"/>
    <m/>
    <n v="100500"/>
  </r>
  <r>
    <x v="557"/>
    <n v="557173"/>
    <x v="1"/>
    <s v="  "/>
    <n v="1288"/>
    <s v="באר שבע, כלניות"/>
    <x v="2"/>
    <d v="2016-06-27T00:00:00"/>
    <x v="1"/>
    <n v="6"/>
    <s v="בש/256/2015"/>
    <x v="1"/>
    <n v="1"/>
    <m/>
    <n v="100555"/>
  </r>
  <r>
    <x v="558"/>
    <n v="474500"/>
    <x v="1"/>
    <s v="  "/>
    <n v="509"/>
    <s v="באר שבע, כלניות"/>
    <x v="2"/>
    <d v="2015-08-30T00:00:00"/>
    <x v="3"/>
    <n v="8"/>
    <s v="בש/407/2014"/>
    <x v="1"/>
    <n v="1"/>
    <m/>
    <n v="101000"/>
  </r>
  <r>
    <x v="558"/>
    <n v="476482"/>
    <x v="1"/>
    <s v="  "/>
    <n v="398"/>
    <s v="באר שבע, כלניות"/>
    <x v="2"/>
    <d v="2015-08-30T00:00:00"/>
    <x v="3"/>
    <n v="8"/>
    <s v="בש/407/2014"/>
    <x v="1"/>
    <n v="1"/>
    <m/>
    <n v="101000"/>
  </r>
  <r>
    <x v="558"/>
    <n v="479456"/>
    <x v="1"/>
    <s v="  "/>
    <n v="233"/>
    <s v="באר שבע, כלניות"/>
    <x v="2"/>
    <d v="2015-08-30T00:00:00"/>
    <x v="3"/>
    <n v="8"/>
    <s v="בש/407/2014"/>
    <x v="1"/>
    <n v="1"/>
    <m/>
    <n v="101000"/>
  </r>
  <r>
    <x v="558"/>
    <n v="480447"/>
    <x v="1"/>
    <s v="  "/>
    <n v="123"/>
    <s v="באר שבע, כלניות"/>
    <x v="2"/>
    <d v="2015-08-30T00:00:00"/>
    <x v="3"/>
    <n v="8"/>
    <s v="בש/407/2014"/>
    <x v="1"/>
    <n v="1"/>
    <m/>
    <n v="101000"/>
  </r>
  <r>
    <x v="558"/>
    <n v="480447"/>
    <x v="1"/>
    <s v="  "/>
    <n v="232"/>
    <s v="באר שבע, כלניות"/>
    <x v="2"/>
    <d v="2015-08-30T00:00:00"/>
    <x v="3"/>
    <n v="8"/>
    <s v="בש/407/2014"/>
    <x v="1"/>
    <n v="1"/>
    <m/>
    <n v="101000"/>
  </r>
  <r>
    <x v="558"/>
    <n v="486394"/>
    <x v="1"/>
    <s v="  "/>
    <n v="271"/>
    <s v="באר שבע, כלניות"/>
    <x v="2"/>
    <d v="2015-08-30T00:00:00"/>
    <x v="3"/>
    <n v="8"/>
    <s v="בש/407/2014"/>
    <x v="1"/>
    <n v="1"/>
    <m/>
    <n v="101000"/>
  </r>
  <r>
    <x v="558"/>
    <n v="492837"/>
    <x v="1"/>
    <s v="  "/>
    <n v="114"/>
    <s v="באר שבע, כלניות"/>
    <x v="2"/>
    <d v="2015-08-30T00:00:00"/>
    <x v="3"/>
    <n v="8"/>
    <s v="בש/407/2014"/>
    <x v="1"/>
    <n v="1"/>
    <m/>
    <n v="101000"/>
  </r>
  <r>
    <x v="558"/>
    <n v="516166"/>
    <x v="1"/>
    <s v="  "/>
    <n v="1541"/>
    <s v="באר שבע, כלניות"/>
    <x v="2"/>
    <d v="2016-06-27T00:00:00"/>
    <x v="1"/>
    <n v="6"/>
    <s v="בש/256/2015"/>
    <x v="1"/>
    <n v="1"/>
    <m/>
    <n v="101000"/>
  </r>
  <r>
    <x v="558"/>
    <n v="545782"/>
    <x v="1"/>
    <s v="  "/>
    <n v="1358"/>
    <s v="באר שבע, כלניות"/>
    <x v="2"/>
    <d v="2016-06-27T00:00:00"/>
    <x v="1"/>
    <n v="6"/>
    <s v="בש/256/2015"/>
    <x v="1"/>
    <n v="1"/>
    <m/>
    <n v="101000"/>
  </r>
  <r>
    <x v="558"/>
    <n v="546351"/>
    <x v="1"/>
    <s v="  "/>
    <n v="1216"/>
    <s v="באר שבע, כלניות"/>
    <x v="2"/>
    <d v="2016-06-27T00:00:00"/>
    <x v="1"/>
    <n v="6"/>
    <s v="בש/256/2015"/>
    <x v="1"/>
    <n v="1"/>
    <m/>
    <n v="101000"/>
  </r>
  <r>
    <x v="558"/>
    <n v="549200"/>
    <x v="1"/>
    <s v="  "/>
    <n v="1324"/>
    <s v="באר שבע, כלניות"/>
    <x v="2"/>
    <d v="2016-06-27T00:00:00"/>
    <x v="1"/>
    <n v="6"/>
    <s v="בש/256/2015"/>
    <x v="1"/>
    <n v="1"/>
    <m/>
    <n v="101000"/>
  </r>
  <r>
    <x v="559"/>
    <n v="479456"/>
    <x v="1"/>
    <s v="  "/>
    <n v="315"/>
    <s v="באר שבע, כלניות"/>
    <x v="2"/>
    <d v="2015-08-30T00:00:00"/>
    <x v="3"/>
    <n v="8"/>
    <s v="בש/407/2014"/>
    <x v="1"/>
    <n v="1"/>
    <m/>
    <n v="101018"/>
  </r>
  <r>
    <x v="559"/>
    <n v="581662"/>
    <x v="1"/>
    <s v="  "/>
    <n v="1340"/>
    <s v="באר שבע, כלניות"/>
    <x v="2"/>
    <d v="2016-06-27T00:00:00"/>
    <x v="1"/>
    <n v="6"/>
    <s v="בש/256/2015"/>
    <x v="1"/>
    <n v="1"/>
    <m/>
    <n v="101018"/>
  </r>
  <r>
    <x v="560"/>
    <n v="542891"/>
    <x v="1"/>
    <s v="  "/>
    <n v="38"/>
    <s v="באר שבע, כלניות"/>
    <x v="2"/>
    <d v="2015-08-30T00:00:00"/>
    <x v="3"/>
    <n v="8"/>
    <s v="בש/407/2014"/>
    <x v="1"/>
    <n v="1"/>
    <m/>
    <n v="101026"/>
  </r>
  <r>
    <x v="560"/>
    <n v="549769"/>
    <x v="1"/>
    <s v="  "/>
    <n v="382"/>
    <s v="באר שבע, כלניות"/>
    <x v="2"/>
    <d v="2016-06-27T00:00:00"/>
    <x v="1"/>
    <n v="6"/>
    <s v="בש/256/2015"/>
    <x v="1"/>
    <n v="1"/>
    <m/>
    <n v="101026"/>
  </r>
  <r>
    <x v="560"/>
    <n v="586788"/>
    <x v="1"/>
    <s v="  "/>
    <n v="353"/>
    <s v="באר שבע, כלניות"/>
    <x v="2"/>
    <d v="2016-06-27T00:00:00"/>
    <x v="1"/>
    <n v="6"/>
    <s v="בש/256/2015"/>
    <x v="1"/>
    <n v="1"/>
    <m/>
    <n v="101026"/>
  </r>
  <r>
    <x v="561"/>
    <n v="579954"/>
    <x v="1"/>
    <s v="  "/>
    <n v="1218"/>
    <s v="באר שבע, כלניות"/>
    <x v="2"/>
    <d v="2016-06-27T00:00:00"/>
    <x v="1"/>
    <n v="6"/>
    <s v="בש/256/2015"/>
    <x v="1"/>
    <n v="1"/>
    <m/>
    <n v="101100"/>
  </r>
  <r>
    <x v="562"/>
    <n v="487385"/>
    <x v="1"/>
    <s v="  "/>
    <n v="153"/>
    <s v="באר שבע, כלניות"/>
    <x v="2"/>
    <d v="2015-08-30T00:00:00"/>
    <x v="3"/>
    <n v="8"/>
    <s v="בש/407/2014"/>
    <x v="1"/>
    <n v="1"/>
    <m/>
    <n v="101105"/>
  </r>
  <r>
    <x v="563"/>
    <n v="555464"/>
    <x v="1"/>
    <s v="  "/>
    <n v="74"/>
    <s v="באר שבע, כלניות"/>
    <x v="2"/>
    <d v="2016-06-27T00:00:00"/>
    <x v="1"/>
    <n v="6"/>
    <s v="בש/256/2015"/>
    <x v="1"/>
    <n v="1"/>
    <m/>
    <n v="101200"/>
  </r>
  <r>
    <x v="564"/>
    <n v="492837"/>
    <x v="1"/>
    <s v="  "/>
    <n v="489"/>
    <s v="באר שבע, כלניות"/>
    <x v="2"/>
    <d v="2015-08-30T00:00:00"/>
    <x v="3"/>
    <n v="8"/>
    <s v="בש/407/2014"/>
    <x v="1"/>
    <n v="1"/>
    <m/>
    <n v="101203"/>
  </r>
  <r>
    <x v="565"/>
    <n v="546351"/>
    <x v="1"/>
    <s v="  "/>
    <n v="1233"/>
    <s v="באר שבע, כלניות"/>
    <x v="2"/>
    <d v="2016-06-27T00:00:00"/>
    <x v="1"/>
    <n v="6"/>
    <s v="בש/256/2015"/>
    <x v="1"/>
    <n v="1"/>
    <m/>
    <n v="101234"/>
  </r>
  <r>
    <x v="566"/>
    <n v="468492"/>
    <x v="1"/>
    <s v="  "/>
    <n v="1402"/>
    <s v="באר שבע, כלניות"/>
    <x v="2"/>
    <d v="2016-06-27T00:00:00"/>
    <x v="1"/>
    <n v="6"/>
    <s v="בש/256/2015"/>
    <x v="1"/>
    <n v="1"/>
    <m/>
    <n v="101250"/>
  </r>
  <r>
    <x v="567"/>
    <n v="493828"/>
    <x v="1"/>
    <s v="  "/>
    <n v="133"/>
    <s v="באר שבע, כלניות"/>
    <x v="2"/>
    <d v="2015-08-30T00:00:00"/>
    <x v="3"/>
    <n v="8"/>
    <s v="בש/407/2014"/>
    <x v="1"/>
    <n v="1"/>
    <m/>
    <n v="101400"/>
  </r>
  <r>
    <x v="568"/>
    <n v="468492"/>
    <x v="1"/>
    <s v="  "/>
    <n v="1143"/>
    <s v="באר שבע, כלניות"/>
    <x v="2"/>
    <d v="2016-06-27T00:00:00"/>
    <x v="1"/>
    <n v="6"/>
    <s v="בש/256/2015"/>
    <x v="1"/>
    <n v="1"/>
    <m/>
    <n v="101500"/>
  </r>
  <r>
    <x v="568"/>
    <n v="475326"/>
    <x v="1"/>
    <s v="  "/>
    <n v="1399"/>
    <s v="באר שבע, כלניות"/>
    <x v="2"/>
    <d v="2016-06-27T00:00:00"/>
    <x v="1"/>
    <n v="6"/>
    <s v="בש/256/2015"/>
    <x v="1"/>
    <n v="1"/>
    <m/>
    <n v="101500"/>
  </r>
  <r>
    <x v="568"/>
    <n v="560021"/>
    <x v="1"/>
    <s v="  "/>
    <n v="1330"/>
    <s v="באר שבע, כלניות"/>
    <x v="2"/>
    <d v="2016-06-27T00:00:00"/>
    <x v="1"/>
    <n v="6"/>
    <s v="בש/256/2015"/>
    <x v="1"/>
    <n v="1"/>
    <m/>
    <n v="101500"/>
  </r>
  <r>
    <x v="568"/>
    <n v="602734"/>
    <x v="1"/>
    <s v="  "/>
    <n v="1178"/>
    <s v="באר שבע, כלניות"/>
    <x v="2"/>
    <d v="2016-06-27T00:00:00"/>
    <x v="1"/>
    <n v="6"/>
    <s v="בש/256/2015"/>
    <x v="1"/>
    <n v="1"/>
    <m/>
    <n v="101500"/>
  </r>
  <r>
    <x v="569"/>
    <n v="539517"/>
    <x v="1"/>
    <s v="  "/>
    <n v="1566"/>
    <s v="באר שבע, כלניות"/>
    <x v="2"/>
    <d v="2016-06-27T00:00:00"/>
    <x v="1"/>
    <n v="6"/>
    <s v="בש/256/2015"/>
    <x v="1"/>
    <n v="1"/>
    <m/>
    <n v="101555"/>
  </r>
  <r>
    <x v="570"/>
    <n v="510182"/>
    <x v="1"/>
    <s v="  "/>
    <n v="309"/>
    <s v="באר שבע, כלניות"/>
    <x v="2"/>
    <d v="2015-08-30T00:00:00"/>
    <x v="3"/>
    <n v="8"/>
    <s v="בש/407/2014"/>
    <x v="1"/>
    <n v="1"/>
    <m/>
    <n v="101599"/>
  </r>
  <r>
    <x v="571"/>
    <n v="479456"/>
    <x v="1"/>
    <s v="  "/>
    <n v="387"/>
    <s v="באר שבע, כלניות"/>
    <x v="2"/>
    <d v="2015-08-30T00:00:00"/>
    <x v="3"/>
    <n v="8"/>
    <s v="בש/407/2014"/>
    <x v="1"/>
    <n v="1"/>
    <m/>
    <n v="101626"/>
  </r>
  <r>
    <x v="571"/>
    <n v="482925"/>
    <x v="1"/>
    <s v="  "/>
    <n v="380"/>
    <s v="באר שבע, כלניות"/>
    <x v="2"/>
    <d v="2015-08-30T00:00:00"/>
    <x v="3"/>
    <n v="8"/>
    <s v="בש/407/2014"/>
    <x v="1"/>
    <n v="1"/>
    <m/>
    <n v="101626"/>
  </r>
  <r>
    <x v="571"/>
    <n v="489864"/>
    <x v="1"/>
    <s v="  "/>
    <n v="403"/>
    <s v="באר שבע, כלניות"/>
    <x v="2"/>
    <d v="2015-08-30T00:00:00"/>
    <x v="3"/>
    <n v="8"/>
    <s v="בש/407/2014"/>
    <x v="1"/>
    <n v="1"/>
    <m/>
    <n v="101626"/>
  </r>
  <r>
    <x v="572"/>
    <n v="573120"/>
    <x v="1"/>
    <s v="  "/>
    <n v="1485"/>
    <s v="באר שבע, כלניות"/>
    <x v="2"/>
    <d v="2016-06-27T00:00:00"/>
    <x v="1"/>
    <n v="6"/>
    <s v="בש/256/2015"/>
    <x v="1"/>
    <n v="1"/>
    <m/>
    <n v="101740"/>
  </r>
  <r>
    <x v="573"/>
    <n v="481439"/>
    <x v="1"/>
    <s v="  "/>
    <n v="273"/>
    <s v="באר שבע, כלניות"/>
    <x v="2"/>
    <d v="2015-08-30T00:00:00"/>
    <x v="3"/>
    <n v="8"/>
    <s v="בש/407/2014"/>
    <x v="1"/>
    <n v="1"/>
    <m/>
    <n v="101900"/>
  </r>
  <r>
    <x v="573"/>
    <n v="483421"/>
    <x v="1"/>
    <s v="  "/>
    <n v="237"/>
    <s v="באר שבע, כלניות"/>
    <x v="2"/>
    <d v="2015-08-30T00:00:00"/>
    <x v="3"/>
    <n v="8"/>
    <s v="בש/407/2014"/>
    <x v="1"/>
    <n v="1"/>
    <m/>
    <n v="101900"/>
  </r>
  <r>
    <x v="574"/>
    <n v="485899"/>
    <x v="1"/>
    <s v="  "/>
    <n v="169"/>
    <s v="באר שבע, כלניות"/>
    <x v="2"/>
    <d v="2015-08-30T00:00:00"/>
    <x v="3"/>
    <n v="8"/>
    <s v="בש/407/2014"/>
    <x v="1"/>
    <n v="1"/>
    <m/>
    <n v="101999"/>
  </r>
  <r>
    <x v="574"/>
    <n v="555464"/>
    <x v="1"/>
    <s v="  "/>
    <n v="378"/>
    <s v="באר שבע, כלניות"/>
    <x v="2"/>
    <d v="2016-06-27T00:00:00"/>
    <x v="1"/>
    <n v="6"/>
    <s v="בש/256/2015"/>
    <x v="1"/>
    <n v="1"/>
    <m/>
    <n v="101999"/>
  </r>
  <r>
    <x v="574"/>
    <n v="565147"/>
    <x v="1"/>
    <s v="  "/>
    <n v="1205"/>
    <s v="באר שבע, כלניות"/>
    <x v="2"/>
    <d v="2016-06-27T00:00:00"/>
    <x v="1"/>
    <n v="6"/>
    <s v="בש/256/2015"/>
    <x v="1"/>
    <n v="1"/>
    <m/>
    <n v="101999"/>
  </r>
  <r>
    <x v="575"/>
    <n v="480942"/>
    <x v="1"/>
    <s v="  "/>
    <n v="283"/>
    <s v="באר שבע, כלניות"/>
    <x v="2"/>
    <d v="2015-08-30T00:00:00"/>
    <x v="3"/>
    <n v="8"/>
    <s v="בש/407/2014"/>
    <x v="1"/>
    <n v="1"/>
    <m/>
    <n v="102000"/>
  </r>
  <r>
    <x v="575"/>
    <n v="491845"/>
    <x v="1"/>
    <s v="  "/>
    <n v="305"/>
    <s v="באר שבע, כלניות"/>
    <x v="2"/>
    <d v="2015-08-30T00:00:00"/>
    <x v="3"/>
    <n v="8"/>
    <s v="בש/407/2014"/>
    <x v="1"/>
    <n v="1"/>
    <m/>
    <n v="102000"/>
  </r>
  <r>
    <x v="575"/>
    <n v="493828"/>
    <x v="1"/>
    <s v="  "/>
    <n v="132"/>
    <s v="באר שבע, כלניות"/>
    <x v="2"/>
    <d v="2015-08-30T00:00:00"/>
    <x v="3"/>
    <n v="8"/>
    <s v="בש/407/2014"/>
    <x v="1"/>
    <n v="1"/>
    <m/>
    <n v="102000"/>
  </r>
  <r>
    <x v="575"/>
    <n v="530975"/>
    <x v="1"/>
    <s v="  "/>
    <n v="1122"/>
    <s v="באר שבע, כלניות"/>
    <x v="2"/>
    <d v="2016-06-27T00:00:00"/>
    <x v="1"/>
    <n v="6"/>
    <s v="בש/256/2015"/>
    <x v="1"/>
    <n v="1"/>
    <m/>
    <n v="102000"/>
  </r>
  <r>
    <x v="575"/>
    <n v="544643"/>
    <x v="1"/>
    <s v="  "/>
    <n v="1215"/>
    <s v="באר שבע, כלניות"/>
    <x v="2"/>
    <d v="2016-06-27T00:00:00"/>
    <x v="1"/>
    <n v="6"/>
    <s v="בש/256/2015"/>
    <x v="1"/>
    <n v="1"/>
    <m/>
    <n v="102000"/>
  </r>
  <r>
    <x v="576"/>
    <n v="562299"/>
    <x v="1"/>
    <s v="  "/>
    <n v="1068"/>
    <s v="באר שבע, כלניות"/>
    <x v="2"/>
    <d v="2016-06-27T00:00:00"/>
    <x v="1"/>
    <n v="6"/>
    <s v="בש/256/2015"/>
    <x v="1"/>
    <n v="1"/>
    <m/>
    <n v="102100"/>
  </r>
  <r>
    <x v="577"/>
    <n v="570841"/>
    <x v="1"/>
    <s v="  "/>
    <n v="347"/>
    <s v="באר שבע, כלניות"/>
    <x v="2"/>
    <d v="2016-06-27T00:00:00"/>
    <x v="1"/>
    <n v="6"/>
    <s v="בש/256/2015"/>
    <x v="1"/>
    <n v="1"/>
    <m/>
    <n v="102109"/>
  </r>
  <r>
    <x v="578"/>
    <n v="540087"/>
    <x v="1"/>
    <s v="  "/>
    <n v="1452"/>
    <s v="באר שבע, כלניות"/>
    <x v="2"/>
    <d v="2016-06-27T00:00:00"/>
    <x v="1"/>
    <n v="6"/>
    <s v="בש/256/2015"/>
    <x v="1"/>
    <n v="1"/>
    <m/>
    <n v="102300"/>
  </r>
  <r>
    <x v="579"/>
    <n v="489864"/>
    <x v="1"/>
    <s v="  "/>
    <n v="490"/>
    <s v="באר שבע, כלניות"/>
    <x v="2"/>
    <d v="2015-08-30T00:00:00"/>
    <x v="3"/>
    <n v="8"/>
    <s v="בש/407/2014"/>
    <x v="1"/>
    <n v="1"/>
    <m/>
    <n v="102500"/>
  </r>
  <r>
    <x v="580"/>
    <n v="549769"/>
    <x v="1"/>
    <s v="  "/>
    <n v="1253"/>
    <s v="באר שבע, כלניות"/>
    <x v="2"/>
    <d v="2016-06-27T00:00:00"/>
    <x v="1"/>
    <n v="6"/>
    <s v="בש/256/2015"/>
    <x v="1"/>
    <n v="1"/>
    <m/>
    <n v="102760"/>
  </r>
  <r>
    <x v="581"/>
    <n v="487385"/>
    <x v="1"/>
    <s v="  "/>
    <n v="511"/>
    <s v="באר שבע, כלניות"/>
    <x v="2"/>
    <d v="2015-08-30T00:00:00"/>
    <x v="3"/>
    <n v="8"/>
    <s v="בש/407/2014"/>
    <x v="1"/>
    <n v="1"/>
    <m/>
    <n v="103000"/>
  </r>
  <r>
    <x v="581"/>
    <n v="490854"/>
    <x v="1"/>
    <s v="  "/>
    <n v="416"/>
    <s v="באר שבע, כלניות"/>
    <x v="2"/>
    <d v="2015-08-30T00:00:00"/>
    <x v="3"/>
    <n v="8"/>
    <s v="בש/407/2014"/>
    <x v="1"/>
    <n v="1"/>
    <m/>
    <n v="103000"/>
  </r>
  <r>
    <x v="581"/>
    <n v="492342"/>
    <x v="1"/>
    <s v="  "/>
    <n v="302"/>
    <s v="באר שבע, כלניות"/>
    <x v="2"/>
    <d v="2015-08-30T00:00:00"/>
    <x v="3"/>
    <n v="8"/>
    <s v="בש/407/2014"/>
    <x v="1"/>
    <n v="1"/>
    <m/>
    <n v="103000"/>
  </r>
  <r>
    <x v="581"/>
    <n v="520094"/>
    <x v="1"/>
    <s v="  "/>
    <n v="172"/>
    <s v="באר שבע, כלניות"/>
    <x v="2"/>
    <d v="2015-08-30T00:00:00"/>
    <x v="3"/>
    <n v="8"/>
    <s v="בש/407/2014"/>
    <x v="1"/>
    <n v="1"/>
    <m/>
    <n v="103000"/>
  </r>
  <r>
    <x v="581"/>
    <n v="595900"/>
    <x v="1"/>
    <s v="  "/>
    <n v="1141"/>
    <s v="באר שבע, כלניות"/>
    <x v="2"/>
    <d v="2016-06-27T00:00:00"/>
    <x v="1"/>
    <n v="6"/>
    <s v="בש/256/2015"/>
    <x v="1"/>
    <n v="1"/>
    <m/>
    <n v="103000"/>
  </r>
  <r>
    <x v="582"/>
    <n v="546921"/>
    <x v="1"/>
    <s v="  "/>
    <n v="1182"/>
    <s v="באר שבע, כלניות"/>
    <x v="2"/>
    <d v="2016-06-27T00:00:00"/>
    <x v="1"/>
    <n v="6"/>
    <s v="בש/256/2015"/>
    <x v="1"/>
    <n v="1"/>
    <m/>
    <n v="103079"/>
  </r>
  <r>
    <x v="583"/>
    <n v="550908"/>
    <x v="1"/>
    <s v="  "/>
    <n v="1252"/>
    <s v="באר שבע, כלניות"/>
    <x v="2"/>
    <d v="2016-06-27T00:00:00"/>
    <x v="1"/>
    <n v="6"/>
    <s v="בש/256/2015"/>
    <x v="1"/>
    <n v="1"/>
    <m/>
    <n v="103200"/>
  </r>
  <r>
    <x v="584"/>
    <n v="553187"/>
    <x v="1"/>
    <s v="  "/>
    <n v="1331"/>
    <s v="באר שבע, כלניות"/>
    <x v="2"/>
    <d v="2016-06-27T00:00:00"/>
    <x v="1"/>
    <n v="6"/>
    <s v="בש/256/2015"/>
    <x v="1"/>
    <n v="1"/>
    <m/>
    <n v="103500"/>
  </r>
  <r>
    <x v="584"/>
    <n v="555464"/>
    <x v="1"/>
    <s v="  "/>
    <n v="254"/>
    <s v="באר שבע, כלניות"/>
    <x v="2"/>
    <d v="2016-06-27T00:00:00"/>
    <x v="1"/>
    <n v="6"/>
    <s v="בש/256/2015"/>
    <x v="1"/>
    <n v="1"/>
    <m/>
    <n v="103500"/>
  </r>
  <r>
    <x v="585"/>
    <n v="491350"/>
    <x v="1"/>
    <s v="  "/>
    <n v="449"/>
    <s v="באר שבע, כלניות"/>
    <x v="2"/>
    <d v="2015-08-30T00:00:00"/>
    <x v="3"/>
    <n v="8"/>
    <s v="בש/407/2014"/>
    <x v="1"/>
    <n v="1"/>
    <m/>
    <n v="103577"/>
  </r>
  <r>
    <x v="586"/>
    <n v="570841"/>
    <x v="1"/>
    <s v="  "/>
    <n v="1488"/>
    <s v="באר שבע, כלניות"/>
    <x v="2"/>
    <d v="2016-06-27T00:00:00"/>
    <x v="1"/>
    <n v="6"/>
    <s v="בש/256/2015"/>
    <x v="1"/>
    <n v="1"/>
    <m/>
    <n v="103680"/>
  </r>
  <r>
    <x v="587"/>
    <n v="488377"/>
    <x v="1"/>
    <s v="  "/>
    <n v="327"/>
    <s v="באר שבע, כלניות"/>
    <x v="2"/>
    <d v="2015-08-30T00:00:00"/>
    <x v="3"/>
    <n v="8"/>
    <s v="בש/407/2014"/>
    <x v="1"/>
    <n v="1"/>
    <m/>
    <n v="103700"/>
  </r>
  <r>
    <x v="587"/>
    <n v="504731"/>
    <x v="1"/>
    <s v="  "/>
    <n v="83"/>
    <s v="באר שבע, כלניות"/>
    <x v="2"/>
    <d v="2015-08-30T00:00:00"/>
    <x v="3"/>
    <n v="8"/>
    <s v="בש/407/2014"/>
    <x v="1"/>
    <n v="1"/>
    <m/>
    <n v="103700"/>
  </r>
  <r>
    <x v="588"/>
    <n v="543504"/>
    <x v="1"/>
    <s v="  "/>
    <n v="1139"/>
    <s v="באר שבע, כלניות"/>
    <x v="2"/>
    <d v="2016-06-27T00:00:00"/>
    <x v="1"/>
    <n v="6"/>
    <s v="בש/256/2015"/>
    <x v="1"/>
    <n v="1"/>
    <m/>
    <n v="103999"/>
  </r>
  <r>
    <x v="589"/>
    <n v="492837"/>
    <x v="1"/>
    <s v="  "/>
    <n v="368"/>
    <s v="באר שבע, כלניות"/>
    <x v="2"/>
    <d v="2015-08-30T00:00:00"/>
    <x v="3"/>
    <n v="8"/>
    <s v="בש/407/2014"/>
    <x v="1"/>
    <n v="1"/>
    <m/>
    <n v="104000"/>
  </r>
  <r>
    <x v="589"/>
    <n v="543504"/>
    <x v="1"/>
    <s v="  "/>
    <n v="1466"/>
    <s v="באר שבע, כלניות"/>
    <x v="2"/>
    <d v="2016-06-27T00:00:00"/>
    <x v="1"/>
    <n v="6"/>
    <s v="בש/256/2015"/>
    <x v="1"/>
    <n v="1"/>
    <m/>
    <n v="104000"/>
  </r>
  <r>
    <x v="589"/>
    <n v="555464"/>
    <x v="1"/>
    <s v="  "/>
    <n v="246"/>
    <s v="באר שבע, כלניות"/>
    <x v="2"/>
    <d v="2016-06-27T00:00:00"/>
    <x v="1"/>
    <n v="6"/>
    <s v="בש/256/2015"/>
    <x v="1"/>
    <n v="1"/>
    <m/>
    <n v="104000"/>
  </r>
  <r>
    <x v="590"/>
    <n v="553187"/>
    <x v="1"/>
    <s v="  "/>
    <n v="1091"/>
    <s v="באר שבע, כלניות"/>
    <x v="2"/>
    <d v="2016-06-27T00:00:00"/>
    <x v="1"/>
    <n v="6"/>
    <s v="בש/256/2015"/>
    <x v="1"/>
    <n v="1"/>
    <m/>
    <n v="104080"/>
  </r>
  <r>
    <x v="591"/>
    <n v="486394"/>
    <x v="1"/>
    <s v="  "/>
    <n v="62"/>
    <s v="באר שבע, כלניות"/>
    <x v="2"/>
    <d v="2015-08-30T00:00:00"/>
    <x v="3"/>
    <n v="8"/>
    <s v="בש/407/2014"/>
    <x v="1"/>
    <n v="1"/>
    <m/>
    <n v="104444"/>
  </r>
  <r>
    <x v="591"/>
    <n v="553755"/>
    <x v="1"/>
    <s v="  "/>
    <n v="1470"/>
    <s v="באר שבע, כלניות"/>
    <x v="2"/>
    <d v="2016-06-27T00:00:00"/>
    <x v="1"/>
    <n v="6"/>
    <s v="בש/256/2015"/>
    <x v="1"/>
    <n v="1"/>
    <m/>
    <n v="104444"/>
  </r>
  <r>
    <x v="591"/>
    <n v="561729"/>
    <x v="1"/>
    <s v="  "/>
    <n v="1471"/>
    <s v="באר שבע, כלניות"/>
    <x v="2"/>
    <d v="2016-06-27T00:00:00"/>
    <x v="1"/>
    <n v="6"/>
    <s v="בש/256/2015"/>
    <x v="1"/>
    <n v="1"/>
    <m/>
    <n v="104444"/>
  </r>
  <r>
    <x v="592"/>
    <n v="488873"/>
    <x v="1"/>
    <s v="  "/>
    <n v="346"/>
    <s v="באר שבע, כלניות"/>
    <x v="2"/>
    <d v="2015-08-30T00:00:00"/>
    <x v="3"/>
    <n v="8"/>
    <s v="בש/407/2014"/>
    <x v="1"/>
    <n v="1"/>
    <m/>
    <n v="104455"/>
  </r>
  <r>
    <x v="593"/>
    <n v="578246"/>
    <x v="1"/>
    <s v="  "/>
    <n v="1486"/>
    <s v="באר שבע, כלניות"/>
    <x v="2"/>
    <d v="2016-06-27T00:00:00"/>
    <x v="1"/>
    <n v="6"/>
    <s v="בש/256/2015"/>
    <x v="1"/>
    <n v="1"/>
    <m/>
    <n v="104500"/>
  </r>
  <r>
    <x v="594"/>
    <n v="475491"/>
    <x v="1"/>
    <s v="  "/>
    <n v="428"/>
    <s v="באר שבע, כלניות"/>
    <x v="2"/>
    <d v="2015-08-30T00:00:00"/>
    <x v="3"/>
    <n v="8"/>
    <s v="בש/407/2014"/>
    <x v="1"/>
    <n v="1"/>
    <m/>
    <n v="105000"/>
  </r>
  <r>
    <x v="594"/>
    <n v="482430"/>
    <x v="1"/>
    <s v="  "/>
    <n v="3"/>
    <s v="באר שבע, כלניות"/>
    <x v="2"/>
    <d v="2015-08-30T00:00:00"/>
    <x v="3"/>
    <n v="8"/>
    <s v="בש/407/2014"/>
    <x v="1"/>
    <n v="1"/>
    <m/>
    <n v="105000"/>
  </r>
  <r>
    <x v="594"/>
    <n v="488377"/>
    <x v="1"/>
    <s v="  "/>
    <n v="328"/>
    <s v="באר שבע, כלניות"/>
    <x v="2"/>
    <d v="2015-08-30T00:00:00"/>
    <x v="3"/>
    <n v="8"/>
    <s v="בש/407/2014"/>
    <x v="1"/>
    <n v="1"/>
    <m/>
    <n v="105000"/>
  </r>
  <r>
    <x v="594"/>
    <n v="489864"/>
    <x v="1"/>
    <s v="  "/>
    <n v="219"/>
    <s v="באר שבע, כלניות"/>
    <x v="2"/>
    <d v="2015-08-30T00:00:00"/>
    <x v="3"/>
    <n v="8"/>
    <s v="בש/407/2014"/>
    <x v="1"/>
    <n v="1"/>
    <m/>
    <n v="105000"/>
  </r>
  <r>
    <x v="594"/>
    <n v="542935"/>
    <x v="1"/>
    <s v="  "/>
    <n v="1224"/>
    <s v="באר שבע, כלניות"/>
    <x v="2"/>
    <d v="2016-06-27T00:00:00"/>
    <x v="1"/>
    <n v="6"/>
    <s v="בש/256/2015"/>
    <x v="1"/>
    <n v="1"/>
    <m/>
    <n v="105000"/>
  </r>
  <r>
    <x v="594"/>
    <n v="569435"/>
    <x v="1"/>
    <s v="  "/>
    <n v="1303"/>
    <s v="באר שבע, כלניות"/>
    <x v="2"/>
    <d v="2016-06-27T00:00:00"/>
    <x v="1"/>
    <n v="6"/>
    <s v="בש/256/2015"/>
    <x v="1"/>
    <n v="1"/>
    <m/>
    <n v="105000"/>
  </r>
  <r>
    <x v="595"/>
    <n v="490854"/>
    <x v="1"/>
    <s v="  "/>
    <n v="528"/>
    <s v="באר שבע, כלניות"/>
    <x v="2"/>
    <d v="2015-08-30T00:00:00"/>
    <x v="3"/>
    <n v="8"/>
    <s v="בש/407/2014"/>
    <x v="1"/>
    <n v="1"/>
    <m/>
    <n v="105001"/>
  </r>
  <r>
    <x v="596"/>
    <n v="556034"/>
    <x v="1"/>
    <s v="  "/>
    <n v="288"/>
    <s v="באר שבע, כלניות"/>
    <x v="2"/>
    <d v="2016-06-27T00:00:00"/>
    <x v="1"/>
    <n v="6"/>
    <s v="בש/256/2015"/>
    <x v="1"/>
    <n v="1"/>
    <m/>
    <n v="105180"/>
  </r>
  <r>
    <x v="597"/>
    <n v="490359"/>
    <x v="1"/>
    <s v="  "/>
    <n v="520"/>
    <s v="באר שבע, כלניות"/>
    <x v="2"/>
    <d v="2015-08-30T00:00:00"/>
    <x v="3"/>
    <n v="8"/>
    <s v="בש/407/2014"/>
    <x v="1"/>
    <n v="1"/>
    <m/>
    <n v="105200"/>
  </r>
  <r>
    <x v="598"/>
    <n v="490854"/>
    <x v="1"/>
    <s v="  "/>
    <n v="55"/>
    <s v="באר שבע, כלניות"/>
    <x v="2"/>
    <d v="2015-08-30T00:00:00"/>
    <x v="3"/>
    <n v="8"/>
    <s v="בש/407/2014"/>
    <x v="1"/>
    <n v="1"/>
    <m/>
    <n v="105208"/>
  </r>
  <r>
    <x v="599"/>
    <n v="546351"/>
    <x v="1"/>
    <s v="  "/>
    <n v="1210"/>
    <s v="באר שבע, כלניות"/>
    <x v="2"/>
    <d v="2016-06-27T00:00:00"/>
    <x v="1"/>
    <n v="6"/>
    <s v="בש/256/2015"/>
    <x v="1"/>
    <n v="1"/>
    <m/>
    <n v="105440"/>
  </r>
  <r>
    <x v="600"/>
    <n v="554324"/>
    <x v="1"/>
    <s v="  "/>
    <n v="1416"/>
    <s v="באר שבע, כלניות"/>
    <x v="2"/>
    <d v="2016-06-27T00:00:00"/>
    <x v="1"/>
    <n v="6"/>
    <s v="בש/256/2015"/>
    <x v="1"/>
    <n v="1"/>
    <m/>
    <n v="105500"/>
  </r>
  <r>
    <x v="600"/>
    <n v="577106"/>
    <x v="1"/>
    <s v="  "/>
    <n v="1084"/>
    <s v="באר שבע, כלניות"/>
    <x v="2"/>
    <d v="2016-06-27T00:00:00"/>
    <x v="1"/>
    <n v="6"/>
    <s v="בש/256/2015"/>
    <x v="1"/>
    <n v="1"/>
    <m/>
    <n v="105500"/>
  </r>
  <r>
    <x v="601"/>
    <n v="480447"/>
    <x v="1"/>
    <s v="  "/>
    <n v="147"/>
    <s v="באר שבע, כלניות"/>
    <x v="2"/>
    <d v="2015-08-30T00:00:00"/>
    <x v="3"/>
    <n v="8"/>
    <s v="בש/407/2014"/>
    <x v="1"/>
    <n v="1"/>
    <m/>
    <n v="105555"/>
  </r>
  <r>
    <x v="602"/>
    <n v="490359"/>
    <x v="1"/>
    <s v="  "/>
    <n v="300"/>
    <s v="באר שבע, כלניות"/>
    <x v="2"/>
    <d v="2015-08-30T00:00:00"/>
    <x v="3"/>
    <n v="8"/>
    <s v="בש/407/2014"/>
    <x v="1"/>
    <n v="1"/>
    <m/>
    <n v="105630"/>
  </r>
  <r>
    <x v="603"/>
    <n v="493333"/>
    <x v="1"/>
    <s v="  "/>
    <n v="437"/>
    <s v="באר שבע, כלניות"/>
    <x v="2"/>
    <d v="2015-08-30T00:00:00"/>
    <x v="3"/>
    <n v="8"/>
    <s v="בש/407/2014"/>
    <x v="1"/>
    <n v="1"/>
    <m/>
    <n v="105650"/>
  </r>
  <r>
    <x v="604"/>
    <n v="480447"/>
    <x v="1"/>
    <s v="  "/>
    <n v="238"/>
    <s v="באר שבע, כלניות"/>
    <x v="2"/>
    <d v="2015-08-30T00:00:00"/>
    <x v="3"/>
    <n v="8"/>
    <s v="בש/407/2014"/>
    <x v="1"/>
    <n v="1"/>
    <m/>
    <n v="105656"/>
  </r>
  <r>
    <x v="604"/>
    <n v="480447"/>
    <x v="1"/>
    <s v="  "/>
    <n v="239"/>
    <s v="באר שבע, כלניות"/>
    <x v="2"/>
    <d v="2015-08-30T00:00:00"/>
    <x v="3"/>
    <n v="8"/>
    <s v="בש/407/2014"/>
    <x v="1"/>
    <n v="1"/>
    <m/>
    <n v="105656"/>
  </r>
  <r>
    <x v="604"/>
    <n v="483421"/>
    <x v="1"/>
    <s v="  "/>
    <n v="240"/>
    <s v="באר שבע, כלניות"/>
    <x v="2"/>
    <d v="2015-08-30T00:00:00"/>
    <x v="3"/>
    <n v="8"/>
    <s v="בש/407/2014"/>
    <x v="1"/>
    <n v="1"/>
    <m/>
    <n v="105656"/>
  </r>
  <r>
    <x v="605"/>
    <n v="493333"/>
    <x v="1"/>
    <s v="  "/>
    <n v="197"/>
    <s v="באר שבע, כלניות"/>
    <x v="2"/>
    <d v="2015-08-30T00:00:00"/>
    <x v="3"/>
    <n v="8"/>
    <s v="בש/407/2014"/>
    <x v="1"/>
    <n v="1"/>
    <m/>
    <n v="105666"/>
  </r>
  <r>
    <x v="605"/>
    <n v="493333"/>
    <x v="1"/>
    <s v="  "/>
    <n v="198"/>
    <s v="באר שבע, כלניות"/>
    <x v="2"/>
    <d v="2015-08-30T00:00:00"/>
    <x v="3"/>
    <n v="8"/>
    <s v="בש/407/2014"/>
    <x v="1"/>
    <n v="1"/>
    <m/>
    <n v="105666"/>
  </r>
  <r>
    <x v="606"/>
    <n v="549200"/>
    <x v="1"/>
    <s v="  "/>
    <n v="1323"/>
    <s v="באר שבע, כלניות"/>
    <x v="2"/>
    <d v="2016-06-27T00:00:00"/>
    <x v="1"/>
    <n v="6"/>
    <s v="בש/256/2015"/>
    <x v="1"/>
    <n v="1"/>
    <m/>
    <n v="105700"/>
  </r>
  <r>
    <x v="607"/>
    <n v="514148"/>
    <x v="1"/>
    <s v="  "/>
    <n v="373"/>
    <s v="באר שבע, כלניות"/>
    <x v="2"/>
    <d v="2015-08-30T00:00:00"/>
    <x v="3"/>
    <n v="8"/>
    <s v="בש/407/2014"/>
    <x v="1"/>
    <n v="1"/>
    <m/>
    <n v="105897"/>
  </r>
  <r>
    <x v="608"/>
    <n v="546921"/>
    <x v="1"/>
    <s v="  "/>
    <n v="1184"/>
    <s v="באר שבע, כלניות"/>
    <x v="2"/>
    <d v="2016-06-27T00:00:00"/>
    <x v="1"/>
    <n v="6"/>
    <s v="בש/256/2015"/>
    <x v="1"/>
    <n v="1"/>
    <m/>
    <n v="106000"/>
  </r>
  <r>
    <x v="608"/>
    <n v="546921"/>
    <x v="1"/>
    <s v="  "/>
    <n v="1187"/>
    <s v="באר שבע, כלניות"/>
    <x v="2"/>
    <d v="2016-06-27T00:00:00"/>
    <x v="1"/>
    <n v="6"/>
    <s v="בש/256/2015"/>
    <x v="1"/>
    <n v="1"/>
    <m/>
    <n v="106000"/>
  </r>
  <r>
    <x v="609"/>
    <n v="546921"/>
    <x v="1"/>
    <s v="  "/>
    <n v="1183"/>
    <s v="באר שבע, כלניות"/>
    <x v="2"/>
    <d v="2016-06-27T00:00:00"/>
    <x v="1"/>
    <n v="6"/>
    <s v="בש/256/2015"/>
    <x v="1"/>
    <n v="1"/>
    <m/>
    <n v="106050"/>
  </r>
  <r>
    <x v="610"/>
    <n v="558313"/>
    <x v="1"/>
    <s v="  "/>
    <n v="1326"/>
    <s v="באר שבע, כלניות"/>
    <x v="2"/>
    <d v="2016-06-27T00:00:00"/>
    <x v="1"/>
    <n v="6"/>
    <s v="בש/256/2015"/>
    <x v="1"/>
    <n v="1"/>
    <m/>
    <n v="106060"/>
  </r>
  <r>
    <x v="611"/>
    <n v="486394"/>
    <x v="1"/>
    <s v="  "/>
    <n v="214"/>
    <s v="באר שבע, כלניות"/>
    <x v="2"/>
    <d v="2015-08-30T00:00:00"/>
    <x v="3"/>
    <n v="8"/>
    <s v="בש/407/2014"/>
    <x v="1"/>
    <n v="1"/>
    <m/>
    <n v="106447"/>
  </r>
  <r>
    <x v="612"/>
    <n v="493333"/>
    <x v="1"/>
    <s v="  "/>
    <n v="355"/>
    <s v="באר שבע, כלניות"/>
    <x v="2"/>
    <d v="2015-08-30T00:00:00"/>
    <x v="3"/>
    <n v="8"/>
    <s v="בש/407/2014"/>
    <x v="1"/>
    <n v="1"/>
    <m/>
    <n v="107000"/>
  </r>
  <r>
    <x v="612"/>
    <n v="544074"/>
    <x v="1"/>
    <s v="  "/>
    <n v="1321"/>
    <s v="באר שבע, כלניות"/>
    <x v="2"/>
    <d v="2016-06-27T00:00:00"/>
    <x v="1"/>
    <n v="6"/>
    <s v="בש/256/2015"/>
    <x v="1"/>
    <n v="1"/>
    <m/>
    <n v="107000"/>
  </r>
  <r>
    <x v="612"/>
    <n v="554324"/>
    <x v="1"/>
    <s v="  "/>
    <n v="1242"/>
    <s v="באר שבע, כלניות"/>
    <x v="2"/>
    <d v="2016-06-27T00:00:00"/>
    <x v="1"/>
    <n v="6"/>
    <s v="בש/256/2015"/>
    <x v="1"/>
    <n v="1"/>
    <m/>
    <n v="107000"/>
  </r>
  <r>
    <x v="612"/>
    <n v="569435"/>
    <x v="1"/>
    <s v="  "/>
    <n v="1300"/>
    <s v="באר שבע, כלניות"/>
    <x v="2"/>
    <d v="2016-06-27T00:00:00"/>
    <x v="1"/>
    <n v="6"/>
    <s v="בש/256/2015"/>
    <x v="1"/>
    <n v="1"/>
    <m/>
    <n v="107000"/>
  </r>
  <r>
    <x v="613"/>
    <n v="488873"/>
    <x v="1"/>
    <s v="  "/>
    <n v="17"/>
    <s v="באר שבע, כלניות"/>
    <x v="2"/>
    <d v="2015-08-30T00:00:00"/>
    <x v="3"/>
    <n v="8"/>
    <s v="בש/407/2014"/>
    <x v="1"/>
    <n v="1"/>
    <m/>
    <n v="107247"/>
  </r>
  <r>
    <x v="614"/>
    <n v="575967"/>
    <x v="1"/>
    <s v="  "/>
    <n v="1223"/>
    <s v="באר שבע, כלניות"/>
    <x v="2"/>
    <d v="2016-06-27T00:00:00"/>
    <x v="1"/>
    <n v="6"/>
    <s v="בש/256/2015"/>
    <x v="1"/>
    <n v="1"/>
    <m/>
    <n v="107300"/>
  </r>
  <r>
    <x v="615"/>
    <n v="488377"/>
    <x v="1"/>
    <s v="  "/>
    <n v="24"/>
    <s v="באר שבע, כלניות"/>
    <x v="2"/>
    <d v="2015-08-30T00:00:00"/>
    <x v="3"/>
    <n v="8"/>
    <s v="בש/407/2014"/>
    <x v="1"/>
    <n v="1"/>
    <m/>
    <n v="107308"/>
  </r>
  <r>
    <x v="616"/>
    <n v="497793"/>
    <x v="1"/>
    <s v="  "/>
    <n v="335"/>
    <s v="באר שבע, כלניות"/>
    <x v="2"/>
    <d v="2015-08-30T00:00:00"/>
    <x v="3"/>
    <n v="8"/>
    <s v="בש/407/2014"/>
    <x v="1"/>
    <n v="1"/>
    <m/>
    <n v="107355"/>
  </r>
  <r>
    <x v="617"/>
    <n v="553187"/>
    <x v="1"/>
    <s v="  "/>
    <n v="507"/>
    <s v="באר שבע, כלניות"/>
    <x v="2"/>
    <d v="2016-06-27T00:00:00"/>
    <x v="1"/>
    <n v="6"/>
    <s v="בש/256/2015"/>
    <x v="1"/>
    <n v="1"/>
    <m/>
    <n v="107777"/>
  </r>
  <r>
    <x v="617"/>
    <n v="568563"/>
    <x v="1"/>
    <s v="  "/>
    <n v="370"/>
    <s v="באר שבע, כלניות"/>
    <x v="2"/>
    <d v="2016-06-27T00:00:00"/>
    <x v="1"/>
    <n v="6"/>
    <s v="בש/256/2015"/>
    <x v="1"/>
    <n v="1"/>
    <m/>
    <n v="107777"/>
  </r>
  <r>
    <x v="618"/>
    <n v="562868"/>
    <x v="1"/>
    <s v="  "/>
    <n v="118"/>
    <s v="באר שבע, כלניות"/>
    <x v="2"/>
    <d v="2016-06-27T00:00:00"/>
    <x v="1"/>
    <n v="6"/>
    <s v="בש/256/2015"/>
    <x v="1"/>
    <n v="1"/>
    <m/>
    <n v="107820"/>
  </r>
  <r>
    <x v="11"/>
    <n v="551477"/>
    <x v="1"/>
    <s v="  "/>
    <n v="1290"/>
    <s v="באר שבע, כלניות"/>
    <x v="2"/>
    <d v="2016-06-27T00:00:00"/>
    <x v="1"/>
    <n v="6"/>
    <s v="בש/256/2015"/>
    <x v="1"/>
    <n v="1"/>
    <m/>
    <n v="108000"/>
  </r>
  <r>
    <x v="619"/>
    <n v="482430"/>
    <x v="1"/>
    <s v="  "/>
    <n v="265"/>
    <s v="באר שבע, כלניות"/>
    <x v="2"/>
    <d v="2015-08-30T00:00:00"/>
    <x v="3"/>
    <n v="8"/>
    <s v="בש/407/2014"/>
    <x v="1"/>
    <n v="1"/>
    <m/>
    <n v="108100"/>
  </r>
  <r>
    <x v="620"/>
    <n v="493828"/>
    <x v="1"/>
    <s v="  "/>
    <n v="108"/>
    <s v="באר שבע, כלניות"/>
    <x v="2"/>
    <d v="2015-08-30T00:00:00"/>
    <x v="3"/>
    <n v="8"/>
    <s v="בש/407/2014"/>
    <x v="1"/>
    <n v="1"/>
    <m/>
    <n v="108201"/>
  </r>
  <r>
    <x v="621"/>
    <n v="487882"/>
    <x v="1"/>
    <s v="  "/>
    <n v="127"/>
    <s v="באר שבע, כלניות"/>
    <x v="2"/>
    <d v="2015-08-30T00:00:00"/>
    <x v="3"/>
    <n v="8"/>
    <s v="בש/407/2014"/>
    <x v="1"/>
    <n v="1"/>
    <m/>
    <n v="108337"/>
  </r>
  <r>
    <x v="622"/>
    <n v="485403"/>
    <x v="1"/>
    <s v="  "/>
    <n v="486"/>
    <s v="באר שבע, כלניות"/>
    <x v="2"/>
    <d v="2015-08-30T00:00:00"/>
    <x v="3"/>
    <n v="8"/>
    <s v="בש/407/2014"/>
    <x v="1"/>
    <n v="1"/>
    <m/>
    <n v="108745"/>
  </r>
  <r>
    <x v="623"/>
    <n v="487385"/>
    <x v="1"/>
    <s v="  "/>
    <n v="29"/>
    <s v="באר שבע, כלניות"/>
    <x v="2"/>
    <d v="2015-08-30T00:00:00"/>
    <x v="3"/>
    <n v="8"/>
    <s v="בש/407/2014"/>
    <x v="1"/>
    <n v="1"/>
    <m/>
    <n v="108950"/>
  </r>
  <r>
    <x v="624"/>
    <n v="570841"/>
    <x v="1"/>
    <s v="  "/>
    <n v="519"/>
    <s v="באר שבע, כלניות"/>
    <x v="2"/>
    <d v="2016-06-27T00:00:00"/>
    <x v="1"/>
    <n v="6"/>
    <s v="בש/256/2015"/>
    <x v="1"/>
    <n v="1"/>
    <m/>
    <n v="108999"/>
  </r>
  <r>
    <x v="625"/>
    <n v="491845"/>
    <x v="1"/>
    <s v="  "/>
    <n v="209"/>
    <s v="באר שבע, כלניות"/>
    <x v="2"/>
    <d v="2015-08-30T00:00:00"/>
    <x v="3"/>
    <n v="8"/>
    <s v="בש/407/2014"/>
    <x v="1"/>
    <n v="1"/>
    <m/>
    <n v="109000"/>
  </r>
  <r>
    <x v="625"/>
    <n v="492342"/>
    <x v="1"/>
    <s v="  "/>
    <n v="163"/>
    <s v="באר שבע, כלניות"/>
    <x v="2"/>
    <d v="2015-08-30T00:00:00"/>
    <x v="3"/>
    <n v="8"/>
    <s v="בש/407/2014"/>
    <x v="1"/>
    <n v="1"/>
    <m/>
    <n v="109000"/>
  </r>
  <r>
    <x v="626"/>
    <n v="490854"/>
    <x v="1"/>
    <s v="  "/>
    <n v="280"/>
    <s v="באר שבע, כלניות"/>
    <x v="2"/>
    <d v="2015-08-30T00:00:00"/>
    <x v="3"/>
    <n v="8"/>
    <s v="בש/407/2014"/>
    <x v="1"/>
    <n v="1"/>
    <m/>
    <n v="109046"/>
  </r>
  <r>
    <x v="627"/>
    <n v="479456"/>
    <x v="1"/>
    <s v="  "/>
    <n v="166"/>
    <s v="באר שבע, כלניות"/>
    <x v="2"/>
    <d v="2015-08-30T00:00:00"/>
    <x v="3"/>
    <n v="8"/>
    <s v="בש/407/2014"/>
    <x v="1"/>
    <n v="1"/>
    <m/>
    <n v="109111"/>
  </r>
  <r>
    <x v="628"/>
    <n v="484908"/>
    <x v="1"/>
    <s v="  "/>
    <n v="394"/>
    <s v="באר שבע, כלניות"/>
    <x v="2"/>
    <d v="2015-08-30T00:00:00"/>
    <x v="3"/>
    <n v="8"/>
    <s v="בש/407/2014"/>
    <x v="1"/>
    <n v="1"/>
    <m/>
    <n v="109178"/>
  </r>
  <r>
    <x v="629"/>
    <n v="605013"/>
    <x v="1"/>
    <s v="  "/>
    <n v="1058"/>
    <s v="באר שבע, כלניות"/>
    <x v="2"/>
    <d v="2016-06-27T00:00:00"/>
    <x v="1"/>
    <n v="6"/>
    <s v="בש/256/2015"/>
    <x v="1"/>
    <n v="1"/>
    <m/>
    <n v="109500"/>
  </r>
  <r>
    <x v="630"/>
    <n v="570841"/>
    <x v="1"/>
    <s v="  "/>
    <n v="409"/>
    <s v="באר שבע, כלניות"/>
    <x v="2"/>
    <d v="2016-06-27T00:00:00"/>
    <x v="1"/>
    <n v="6"/>
    <s v="בש/256/2015"/>
    <x v="1"/>
    <n v="1"/>
    <m/>
    <n v="109799"/>
  </r>
  <r>
    <x v="631"/>
    <n v="618681"/>
    <x v="1"/>
    <s v="  "/>
    <n v="1188"/>
    <s v="באר שבע, כלניות"/>
    <x v="2"/>
    <d v="2016-06-27T00:00:00"/>
    <x v="1"/>
    <n v="6"/>
    <s v="בש/256/2015"/>
    <x v="1"/>
    <n v="1"/>
    <m/>
    <n v="109877"/>
  </r>
  <r>
    <x v="632"/>
    <n v="571410"/>
    <x v="1"/>
    <s v="  "/>
    <n v="1190"/>
    <s v="באר שבע, כלניות"/>
    <x v="2"/>
    <d v="2016-06-27T00:00:00"/>
    <x v="1"/>
    <n v="6"/>
    <s v="בש/256/2015"/>
    <x v="1"/>
    <n v="1"/>
    <m/>
    <n v="109905"/>
  </r>
  <r>
    <x v="633"/>
    <n v="493828"/>
    <x v="1"/>
    <s v="  "/>
    <n v="136"/>
    <s v="באר שבע, כלניות"/>
    <x v="2"/>
    <d v="2015-08-30T00:00:00"/>
    <x v="3"/>
    <n v="8"/>
    <s v="בש/407/2014"/>
    <x v="1"/>
    <n v="1"/>
    <m/>
    <n v="109918"/>
  </r>
  <r>
    <x v="634"/>
    <n v="474500"/>
    <x v="1"/>
    <s v="  "/>
    <n v="514"/>
    <s v="באר שבע, כלניות"/>
    <x v="2"/>
    <d v="2015-08-30T00:00:00"/>
    <x v="3"/>
    <n v="8"/>
    <s v="בש/407/2014"/>
    <x v="1"/>
    <n v="1"/>
    <m/>
    <n v="110000"/>
  </r>
  <r>
    <x v="634"/>
    <n v="486890"/>
    <x v="1"/>
    <s v="  "/>
    <n v="475"/>
    <s v="באר שבע, כלניות"/>
    <x v="2"/>
    <d v="2015-08-30T00:00:00"/>
    <x v="3"/>
    <n v="8"/>
    <s v="בש/407/2014"/>
    <x v="1"/>
    <n v="1"/>
    <m/>
    <n v="110000"/>
  </r>
  <r>
    <x v="634"/>
    <n v="492342"/>
    <x v="1"/>
    <s v="  "/>
    <n v="304"/>
    <s v="באר שבע, כלניות"/>
    <x v="2"/>
    <d v="2015-08-30T00:00:00"/>
    <x v="3"/>
    <n v="8"/>
    <s v="בש/407/2014"/>
    <x v="1"/>
    <n v="1"/>
    <m/>
    <n v="110000"/>
  </r>
  <r>
    <x v="634"/>
    <n v="548630"/>
    <x v="1"/>
    <s v="  "/>
    <n v="1327"/>
    <s v="באר שבע, כלניות"/>
    <x v="2"/>
    <d v="2016-06-27T00:00:00"/>
    <x v="1"/>
    <n v="6"/>
    <s v="בש/256/2015"/>
    <x v="1"/>
    <n v="1"/>
    <m/>
    <n v="110000"/>
  </r>
  <r>
    <x v="634"/>
    <n v="569435"/>
    <x v="1"/>
    <s v="  "/>
    <n v="1301"/>
    <s v="באר שבע, כלניות"/>
    <x v="2"/>
    <d v="2016-06-27T00:00:00"/>
    <x v="1"/>
    <n v="6"/>
    <s v="בש/256/2015"/>
    <x v="1"/>
    <n v="1"/>
    <m/>
    <n v="110000"/>
  </r>
  <r>
    <x v="635"/>
    <n v="560021"/>
    <x v="1"/>
    <s v="  "/>
    <n v="1034"/>
    <s v="באר שבע, כלניות"/>
    <x v="2"/>
    <d v="2016-06-27T00:00:00"/>
    <x v="1"/>
    <n v="6"/>
    <s v="בש/256/2015"/>
    <x v="1"/>
    <n v="1"/>
    <m/>
    <n v="110001"/>
  </r>
  <r>
    <x v="636"/>
    <n v="544643"/>
    <x v="1"/>
    <s v="  "/>
    <n v="1046"/>
    <s v="באר שבע, כלניות"/>
    <x v="2"/>
    <d v="2016-06-27T00:00:00"/>
    <x v="1"/>
    <n v="6"/>
    <s v="בש/256/2015"/>
    <x v="1"/>
    <n v="1"/>
    <m/>
    <n v="110026"/>
  </r>
  <r>
    <x v="636"/>
    <n v="544643"/>
    <x v="1"/>
    <s v="  "/>
    <n v="1047"/>
    <s v="באר שבע, כלניות"/>
    <x v="2"/>
    <d v="2016-06-27T00:00:00"/>
    <x v="1"/>
    <n v="6"/>
    <s v="בש/256/2015"/>
    <x v="1"/>
    <n v="1"/>
    <m/>
    <n v="110026"/>
  </r>
  <r>
    <x v="636"/>
    <n v="544643"/>
    <x v="1"/>
    <s v="  "/>
    <n v="1048"/>
    <s v="באר שבע, כלניות"/>
    <x v="2"/>
    <d v="2016-06-27T00:00:00"/>
    <x v="1"/>
    <n v="6"/>
    <s v="בש/256/2015"/>
    <x v="1"/>
    <n v="1"/>
    <m/>
    <n v="110026"/>
  </r>
  <r>
    <x v="637"/>
    <n v="544074"/>
    <x v="1"/>
    <s v="  "/>
    <n v="1318"/>
    <s v="באר שבע, כלניות"/>
    <x v="2"/>
    <d v="2016-06-27T00:00:00"/>
    <x v="1"/>
    <n v="6"/>
    <s v="בש/256/2015"/>
    <x v="1"/>
    <n v="1"/>
    <m/>
    <n v="110500"/>
  </r>
  <r>
    <x v="638"/>
    <n v="489368"/>
    <x v="1"/>
    <s v="  "/>
    <n v="201"/>
    <s v="באר שבע, כלניות"/>
    <x v="2"/>
    <d v="2015-08-30T00:00:00"/>
    <x v="3"/>
    <n v="8"/>
    <s v="בש/407/2014"/>
    <x v="1"/>
    <n v="1"/>
    <m/>
    <n v="110900"/>
  </r>
  <r>
    <x v="639"/>
    <n v="550338"/>
    <x v="1"/>
    <s v="  "/>
    <n v="1222"/>
    <s v="באר שבע, כלניות"/>
    <x v="2"/>
    <d v="2016-06-27T00:00:00"/>
    <x v="1"/>
    <n v="6"/>
    <s v="בש/256/2015"/>
    <x v="1"/>
    <n v="1"/>
    <m/>
    <n v="111000"/>
  </r>
  <r>
    <x v="639"/>
    <n v="565147"/>
    <x v="1"/>
    <s v="  "/>
    <n v="324"/>
    <s v="באר שבע, כלניות"/>
    <x v="2"/>
    <d v="2016-06-27T00:00:00"/>
    <x v="1"/>
    <n v="6"/>
    <s v="בש/256/2015"/>
    <x v="1"/>
    <n v="1"/>
    <m/>
    <n v="111000"/>
  </r>
  <r>
    <x v="640"/>
    <n v="481934"/>
    <x v="1"/>
    <s v="  "/>
    <n v="227"/>
    <s v="באר שבע, כלניות"/>
    <x v="2"/>
    <d v="2015-08-30T00:00:00"/>
    <x v="3"/>
    <n v="8"/>
    <s v="בש/407/2014"/>
    <x v="1"/>
    <n v="1"/>
    <m/>
    <n v="111200"/>
  </r>
  <r>
    <x v="640"/>
    <n v="493828"/>
    <x v="1"/>
    <s v="  "/>
    <n v="56"/>
    <s v="באר שבע, כלניות"/>
    <x v="2"/>
    <d v="2015-08-30T00:00:00"/>
    <x v="3"/>
    <n v="8"/>
    <s v="בש/407/2014"/>
    <x v="1"/>
    <n v="1"/>
    <m/>
    <n v="111200"/>
  </r>
  <r>
    <x v="640"/>
    <n v="568563"/>
    <x v="1"/>
    <s v="  "/>
    <n v="67"/>
    <s v="באר שבע, כלניות"/>
    <x v="2"/>
    <d v="2016-06-27T00:00:00"/>
    <x v="1"/>
    <n v="6"/>
    <s v="בש/256/2015"/>
    <x v="1"/>
    <n v="1"/>
    <m/>
    <n v="111200"/>
  </r>
  <r>
    <x v="641"/>
    <n v="581662"/>
    <x v="1"/>
    <s v="  "/>
    <n v="1033"/>
    <s v="באר שבע, כלניות"/>
    <x v="2"/>
    <d v="2016-06-27T00:00:00"/>
    <x v="1"/>
    <n v="6"/>
    <s v="בש/256/2015"/>
    <x v="1"/>
    <n v="1"/>
    <m/>
    <n v="111213"/>
  </r>
  <r>
    <x v="642"/>
    <n v="483916"/>
    <x v="1"/>
    <s v="  "/>
    <n v="474"/>
    <s v="באר שבע, כלניות"/>
    <x v="2"/>
    <d v="2015-08-30T00:00:00"/>
    <x v="3"/>
    <n v="8"/>
    <s v="בש/407/2014"/>
    <x v="1"/>
    <n v="1"/>
    <m/>
    <n v="111222"/>
  </r>
  <r>
    <x v="643"/>
    <n v="561160"/>
    <x v="1"/>
    <s v="  "/>
    <n v="59"/>
    <s v="באר שבע, כלניות"/>
    <x v="2"/>
    <d v="2016-06-27T00:00:00"/>
    <x v="1"/>
    <n v="6"/>
    <s v="בש/256/2015"/>
    <x v="1"/>
    <n v="1"/>
    <m/>
    <n v="111555"/>
  </r>
  <r>
    <x v="643"/>
    <n v="562868"/>
    <x v="1"/>
    <s v="  "/>
    <n v="424"/>
    <s v="באר שבע, כלניות"/>
    <x v="2"/>
    <d v="2016-06-27T00:00:00"/>
    <x v="1"/>
    <n v="6"/>
    <s v="בש/256/2015"/>
    <x v="1"/>
    <n v="1"/>
    <m/>
    <n v="111555"/>
  </r>
  <r>
    <x v="644"/>
    <n v="491350"/>
    <x v="1"/>
    <s v="  "/>
    <n v="422"/>
    <s v="באר שבע, כלניות"/>
    <x v="2"/>
    <d v="2015-08-30T00:00:00"/>
    <x v="3"/>
    <n v="8"/>
    <s v="בש/407/2014"/>
    <x v="1"/>
    <n v="1"/>
    <m/>
    <n v="111556"/>
  </r>
  <r>
    <x v="645"/>
    <n v="493828"/>
    <x v="1"/>
    <s v="  "/>
    <n v="391"/>
    <s v="באר שבע, כלניות"/>
    <x v="2"/>
    <d v="2015-08-30T00:00:00"/>
    <x v="3"/>
    <n v="8"/>
    <s v="בש/407/2014"/>
    <x v="1"/>
    <n v="1"/>
    <m/>
    <n v="111601"/>
  </r>
  <r>
    <x v="646"/>
    <n v="487882"/>
    <x v="1"/>
    <s v="  "/>
    <n v="466"/>
    <s v="באר שבע, כלניות"/>
    <x v="2"/>
    <d v="2015-08-30T00:00:00"/>
    <x v="3"/>
    <n v="8"/>
    <s v="בש/407/2014"/>
    <x v="1"/>
    <n v="1"/>
    <m/>
    <n v="111965"/>
  </r>
  <r>
    <x v="647"/>
    <n v="481439"/>
    <x v="1"/>
    <s v="  "/>
    <n v="274"/>
    <s v="באר שבע, כלניות"/>
    <x v="2"/>
    <d v="2015-08-30T00:00:00"/>
    <x v="3"/>
    <n v="8"/>
    <s v="בש/407/2014"/>
    <x v="1"/>
    <n v="1"/>
    <m/>
    <n v="112000"/>
  </r>
  <r>
    <x v="647"/>
    <n v="482925"/>
    <x v="1"/>
    <s v="  "/>
    <n v="396"/>
    <s v="באר שבע, כלניות"/>
    <x v="2"/>
    <d v="2015-08-30T00:00:00"/>
    <x v="3"/>
    <n v="8"/>
    <s v="בש/407/2014"/>
    <x v="1"/>
    <n v="1"/>
    <m/>
    <n v="112000"/>
  </r>
  <r>
    <x v="648"/>
    <n v="484413"/>
    <x v="1"/>
    <s v="  "/>
    <n v="480"/>
    <s v="באר שבע, כלניות"/>
    <x v="2"/>
    <d v="2015-08-30T00:00:00"/>
    <x v="3"/>
    <n v="8"/>
    <s v="בש/407/2014"/>
    <x v="1"/>
    <n v="1"/>
    <m/>
    <n v="112112"/>
  </r>
  <r>
    <x v="649"/>
    <n v="579954"/>
    <x v="1"/>
    <s v="  "/>
    <n v="1021"/>
    <s v="באר שבע, כלניות"/>
    <x v="2"/>
    <d v="2016-06-27T00:00:00"/>
    <x v="1"/>
    <n v="6"/>
    <s v="בש/256/2015"/>
    <x v="1"/>
    <n v="1"/>
    <m/>
    <n v="112118"/>
  </r>
  <r>
    <x v="650"/>
    <n v="491350"/>
    <x v="1"/>
    <s v="  "/>
    <n v="126"/>
    <s v="באר שבע, כלניות"/>
    <x v="2"/>
    <d v="2015-08-30T00:00:00"/>
    <x v="3"/>
    <n v="8"/>
    <s v="בש/407/2014"/>
    <x v="1"/>
    <n v="1"/>
    <m/>
    <n v="112500"/>
  </r>
  <r>
    <x v="650"/>
    <n v="491350"/>
    <x v="1"/>
    <s v="  "/>
    <n v="129"/>
    <s v="באר שבע, כלניות"/>
    <x v="2"/>
    <d v="2015-08-30T00:00:00"/>
    <x v="3"/>
    <n v="8"/>
    <s v="בש/407/2014"/>
    <x v="1"/>
    <n v="1"/>
    <m/>
    <n v="112500"/>
  </r>
  <r>
    <x v="651"/>
    <n v="454823"/>
    <x v="1"/>
    <s v="  "/>
    <n v="1152"/>
    <s v="באר שבע, כלניות"/>
    <x v="2"/>
    <d v="2016-06-27T00:00:00"/>
    <x v="1"/>
    <n v="6"/>
    <s v="בש/256/2015"/>
    <x v="1"/>
    <n v="1"/>
    <m/>
    <n v="112520"/>
  </r>
  <r>
    <x v="652"/>
    <n v="573120"/>
    <x v="1"/>
    <s v="  "/>
    <n v="1484"/>
    <s v="באר שבע, כלניות"/>
    <x v="2"/>
    <d v="2016-06-27T00:00:00"/>
    <x v="1"/>
    <n v="6"/>
    <s v="בש/256/2015"/>
    <x v="1"/>
    <n v="1"/>
    <m/>
    <n v="112690"/>
  </r>
  <r>
    <x v="653"/>
    <n v="478174"/>
    <x v="1"/>
    <s v="  "/>
    <n v="1201"/>
    <s v="באר שבע, כלניות"/>
    <x v="2"/>
    <d v="2016-06-27T00:00:00"/>
    <x v="1"/>
    <n v="6"/>
    <s v="בש/256/2015"/>
    <x v="1"/>
    <n v="1"/>
    <m/>
    <n v="113000"/>
  </r>
  <r>
    <x v="654"/>
    <n v="487882"/>
    <x v="1"/>
    <s v="  "/>
    <n v="128"/>
    <s v="באר שבע, כלניות"/>
    <x v="2"/>
    <d v="2015-08-30T00:00:00"/>
    <x v="3"/>
    <n v="8"/>
    <s v="בש/407/2014"/>
    <x v="1"/>
    <n v="1"/>
    <m/>
    <n v="113235"/>
  </r>
  <r>
    <x v="655"/>
    <n v="491845"/>
    <x v="1"/>
    <s v="  "/>
    <n v="450"/>
    <s v="באר שבע, כלניות"/>
    <x v="2"/>
    <d v="2015-08-30T00:00:00"/>
    <x v="3"/>
    <n v="8"/>
    <s v="בש/407/2014"/>
    <x v="1"/>
    <n v="1"/>
    <m/>
    <n v="113555"/>
  </r>
  <r>
    <x v="655"/>
    <n v="532980"/>
    <x v="1"/>
    <s v="  "/>
    <n v="19"/>
    <s v="באר שבע, כלניות"/>
    <x v="2"/>
    <d v="2015-08-30T00:00:00"/>
    <x v="3"/>
    <n v="8"/>
    <s v="בש/407/2014"/>
    <x v="1"/>
    <n v="1"/>
    <m/>
    <n v="113555"/>
  </r>
  <r>
    <x v="656"/>
    <n v="599517"/>
    <x v="1"/>
    <s v="  "/>
    <n v="654"/>
    <s v="באר שבע, כלניות"/>
    <x v="2"/>
    <d v="2016-06-27T00:00:00"/>
    <x v="1"/>
    <n v="6"/>
    <s v="בש/256/2015"/>
    <x v="1"/>
    <n v="1"/>
    <m/>
    <n v="113565"/>
  </r>
  <r>
    <x v="657"/>
    <n v="543504"/>
    <x v="1"/>
    <s v="  "/>
    <n v="1431"/>
    <s v="באר שבע, כלניות"/>
    <x v="2"/>
    <d v="2016-06-27T00:00:00"/>
    <x v="1"/>
    <n v="6"/>
    <s v="בש/256/2015"/>
    <x v="1"/>
    <n v="1"/>
    <m/>
    <n v="114408"/>
  </r>
  <r>
    <x v="658"/>
    <n v="599887"/>
    <x v="1"/>
    <s v="  "/>
    <n v="142"/>
    <s v="באר שבע, כלניות"/>
    <x v="2"/>
    <d v="2016-06-27T00:00:00"/>
    <x v="1"/>
    <n v="6"/>
    <s v="בש/256/2015"/>
    <x v="1"/>
    <n v="1"/>
    <m/>
    <n v="114799"/>
  </r>
  <r>
    <x v="659"/>
    <n v="474996"/>
    <x v="1"/>
    <s v="  "/>
    <n v="515"/>
    <s v="באר שבע, כלניות"/>
    <x v="2"/>
    <d v="2015-08-30T00:00:00"/>
    <x v="3"/>
    <n v="8"/>
    <s v="בש/407/2014"/>
    <x v="1"/>
    <n v="1"/>
    <m/>
    <n v="115000"/>
  </r>
  <r>
    <x v="659"/>
    <n v="491350"/>
    <x v="1"/>
    <s v="  "/>
    <n v="110"/>
    <s v="באר שבע, כלניות"/>
    <x v="2"/>
    <d v="2015-08-30T00:00:00"/>
    <x v="3"/>
    <n v="8"/>
    <s v="בש/407/2014"/>
    <x v="1"/>
    <n v="1"/>
    <m/>
    <n v="115000"/>
  </r>
  <r>
    <x v="659"/>
    <n v="514458"/>
    <x v="1"/>
    <s v="  "/>
    <n v="1553"/>
    <s v="באר שבע, כלניות"/>
    <x v="2"/>
    <d v="2016-06-27T00:00:00"/>
    <x v="1"/>
    <n v="6"/>
    <s v="בש/256/2015"/>
    <x v="1"/>
    <n v="1"/>
    <m/>
    <n v="115000"/>
  </r>
  <r>
    <x v="659"/>
    <n v="564007"/>
    <x v="1"/>
    <s v="  "/>
    <n v="467"/>
    <s v="באר שבע, כלניות"/>
    <x v="2"/>
    <d v="2016-06-27T00:00:00"/>
    <x v="1"/>
    <n v="6"/>
    <s v="בש/256/2015"/>
    <x v="1"/>
    <n v="1"/>
    <m/>
    <n v="115000"/>
  </r>
  <r>
    <x v="660"/>
    <n v="493828"/>
    <x v="1"/>
    <s v="  "/>
    <n v="393"/>
    <s v="באר שבע, כלניות"/>
    <x v="2"/>
    <d v="2015-08-30T00:00:00"/>
    <x v="3"/>
    <n v="8"/>
    <s v="בש/407/2014"/>
    <x v="1"/>
    <n v="1"/>
    <m/>
    <n v="115001"/>
  </r>
  <r>
    <x v="661"/>
    <n v="525863"/>
    <x v="1"/>
    <s v="  "/>
    <n v="675"/>
    <s v="באר שבע, כלניות"/>
    <x v="2"/>
    <d v="2015-08-30T00:00:00"/>
    <x v="3"/>
    <n v="8"/>
    <s v="בש/407/2014"/>
    <x v="1"/>
    <n v="1"/>
    <m/>
    <n v="115340"/>
  </r>
  <r>
    <x v="662"/>
    <n v="566286"/>
    <x v="1"/>
    <s v="  "/>
    <n v="461"/>
    <s v="באר שבע, כלניות"/>
    <x v="2"/>
    <d v="2016-06-27T00:00:00"/>
    <x v="1"/>
    <n v="6"/>
    <s v="בש/256/2015"/>
    <x v="1"/>
    <n v="1"/>
    <m/>
    <n v="115770"/>
  </r>
  <r>
    <x v="663"/>
    <n v="487385"/>
    <x v="1"/>
    <s v="  "/>
    <n v="196"/>
    <s v="באר שבע, כלניות"/>
    <x v="2"/>
    <d v="2015-08-30T00:00:00"/>
    <x v="3"/>
    <n v="8"/>
    <s v="בש/407/2014"/>
    <x v="1"/>
    <n v="1"/>
    <m/>
    <n v="115999"/>
  </r>
  <r>
    <x v="664"/>
    <n v="546921"/>
    <x v="1"/>
    <s v="  "/>
    <n v="1181"/>
    <s v="באר שבע, כלניות"/>
    <x v="2"/>
    <d v="2016-06-27T00:00:00"/>
    <x v="1"/>
    <n v="6"/>
    <s v="בש/256/2015"/>
    <x v="1"/>
    <n v="1"/>
    <m/>
    <n v="116000"/>
  </r>
  <r>
    <x v="664"/>
    <n v="562299"/>
    <x v="1"/>
    <s v="  "/>
    <n v="479"/>
    <s v="באר שבע, כלניות"/>
    <x v="2"/>
    <d v="2016-06-27T00:00:00"/>
    <x v="1"/>
    <n v="6"/>
    <s v="בש/256/2015"/>
    <x v="1"/>
    <n v="1"/>
    <m/>
    <n v="116000"/>
  </r>
  <r>
    <x v="665"/>
    <n v="493828"/>
    <x v="1"/>
    <s v="  "/>
    <n v="174"/>
    <s v="באר שבע, כלניות"/>
    <x v="2"/>
    <d v="2015-08-30T00:00:00"/>
    <x v="3"/>
    <n v="8"/>
    <s v="בש/407/2014"/>
    <x v="1"/>
    <n v="1"/>
    <m/>
    <n v="116450"/>
  </r>
  <r>
    <x v="666"/>
    <n v="578246"/>
    <x v="1"/>
    <s v="  "/>
    <n v="1483"/>
    <s v="באר שבע, כלניות"/>
    <x v="2"/>
    <d v="2016-06-27T00:00:00"/>
    <x v="1"/>
    <n v="6"/>
    <s v="בש/256/2015"/>
    <x v="1"/>
    <n v="1"/>
    <m/>
    <n v="116800"/>
  </r>
  <r>
    <x v="667"/>
    <n v="481439"/>
    <x v="1"/>
    <s v="  "/>
    <n v="13"/>
    <s v="באר שבע, כלניות"/>
    <x v="2"/>
    <d v="2015-08-30T00:00:00"/>
    <x v="3"/>
    <n v="8"/>
    <s v="בש/407/2014"/>
    <x v="1"/>
    <n v="1"/>
    <m/>
    <n v="117000"/>
  </r>
  <r>
    <x v="668"/>
    <n v="482430"/>
    <x v="1"/>
    <s v="  "/>
    <n v="258"/>
    <s v="באר שבע, כלניות"/>
    <x v="2"/>
    <d v="2015-08-30T00:00:00"/>
    <x v="3"/>
    <n v="8"/>
    <s v="בש/407/2014"/>
    <x v="1"/>
    <n v="1"/>
    <m/>
    <n v="117350"/>
  </r>
  <r>
    <x v="669"/>
    <n v="491845"/>
    <x v="1"/>
    <s v="  "/>
    <n v="18"/>
    <s v="באר שבע, כלניות"/>
    <x v="2"/>
    <d v="2015-08-30T00:00:00"/>
    <x v="3"/>
    <n v="8"/>
    <s v="בש/407/2014"/>
    <x v="1"/>
    <n v="1"/>
    <m/>
    <n v="118000"/>
  </r>
  <r>
    <x v="669"/>
    <n v="524141"/>
    <x v="1"/>
    <s v="  "/>
    <n v="1104"/>
    <s v="באר שבע, כלניות"/>
    <x v="2"/>
    <d v="2016-06-27T00:00:00"/>
    <x v="1"/>
    <n v="6"/>
    <s v="בש/256/2015"/>
    <x v="1"/>
    <n v="1"/>
    <m/>
    <n v="118000"/>
  </r>
  <r>
    <x v="669"/>
    <n v="562868"/>
    <x v="1"/>
    <s v="  "/>
    <n v="1287"/>
    <s v="באר שבע, כלניות"/>
    <x v="2"/>
    <d v="2016-06-27T00:00:00"/>
    <x v="1"/>
    <n v="6"/>
    <s v="בש/256/2015"/>
    <x v="1"/>
    <n v="1"/>
    <m/>
    <n v="118000"/>
  </r>
  <r>
    <x v="669"/>
    <n v="568563"/>
    <x v="1"/>
    <s v="  "/>
    <n v="1071"/>
    <s v="באר שבע, כלניות"/>
    <x v="2"/>
    <d v="2016-06-27T00:00:00"/>
    <x v="1"/>
    <n v="6"/>
    <s v="בש/256/2015"/>
    <x v="1"/>
    <n v="1"/>
    <m/>
    <n v="118000"/>
  </r>
  <r>
    <x v="670"/>
    <n v="485899"/>
    <x v="1"/>
    <s v="  "/>
    <n v="116"/>
    <s v="באר שבע, כלניות"/>
    <x v="2"/>
    <d v="2015-08-30T00:00:00"/>
    <x v="3"/>
    <n v="8"/>
    <s v="בש/407/2014"/>
    <x v="1"/>
    <n v="1"/>
    <m/>
    <n v="118009"/>
  </r>
  <r>
    <x v="671"/>
    <n v="483421"/>
    <x v="1"/>
    <s v="  "/>
    <n v="476"/>
    <s v="באר שבע, כלניות"/>
    <x v="2"/>
    <d v="2015-08-30T00:00:00"/>
    <x v="3"/>
    <n v="8"/>
    <s v="בש/407/2014"/>
    <x v="1"/>
    <n v="1"/>
    <m/>
    <n v="118018"/>
  </r>
  <r>
    <x v="671"/>
    <n v="490854"/>
    <x v="1"/>
    <s v="  "/>
    <n v="130"/>
    <s v="באר שבע, כלניות"/>
    <x v="2"/>
    <d v="2015-08-30T00:00:00"/>
    <x v="3"/>
    <n v="8"/>
    <s v="בש/407/2014"/>
    <x v="1"/>
    <n v="1"/>
    <m/>
    <n v="118018"/>
  </r>
  <r>
    <x v="672"/>
    <n v="476482"/>
    <x v="1"/>
    <s v="  "/>
    <n v="119"/>
    <s v="באר שבע, כלניות"/>
    <x v="2"/>
    <d v="2015-08-30T00:00:00"/>
    <x v="3"/>
    <n v="8"/>
    <s v="בש/407/2014"/>
    <x v="1"/>
    <n v="1"/>
    <m/>
    <n v="118119"/>
  </r>
  <r>
    <x v="673"/>
    <n v="559450"/>
    <x v="1"/>
    <s v="  "/>
    <n v="330"/>
    <s v="באר שבע, כלניות"/>
    <x v="2"/>
    <d v="2016-06-27T00:00:00"/>
    <x v="1"/>
    <n v="6"/>
    <s v="בש/256/2015"/>
    <x v="1"/>
    <n v="1"/>
    <m/>
    <n v="118156"/>
  </r>
  <r>
    <x v="674"/>
    <n v="526358"/>
    <x v="1"/>
    <s v="  "/>
    <n v="666"/>
    <s v="באר שבע, כלניות"/>
    <x v="2"/>
    <d v="2015-08-30T00:00:00"/>
    <x v="3"/>
    <n v="8"/>
    <s v="בש/407/2014"/>
    <x v="1"/>
    <n v="1"/>
    <m/>
    <n v="118188"/>
  </r>
  <r>
    <x v="675"/>
    <n v="586219"/>
    <x v="1"/>
    <s v="  "/>
    <n v="1208"/>
    <s v="באר שבע, כלניות"/>
    <x v="2"/>
    <d v="2016-06-27T00:00:00"/>
    <x v="1"/>
    <n v="6"/>
    <s v="בש/256/2015"/>
    <x v="1"/>
    <n v="1"/>
    <m/>
    <n v="118290"/>
  </r>
  <r>
    <x v="676"/>
    <n v="493828"/>
    <x v="1"/>
    <s v="  "/>
    <n v="26"/>
    <s v="באר שבע, כלניות"/>
    <x v="2"/>
    <d v="2015-08-30T00:00:00"/>
    <x v="3"/>
    <n v="8"/>
    <s v="בש/407/2014"/>
    <x v="1"/>
    <n v="1"/>
    <m/>
    <n v="118366"/>
  </r>
  <r>
    <x v="677"/>
    <n v="530138"/>
    <x v="1"/>
    <s v="  "/>
    <n v="1374"/>
    <s v="באר שבע, כלניות"/>
    <x v="2"/>
    <d v="2016-06-27T00:00:00"/>
    <x v="1"/>
    <n v="6"/>
    <s v="בש/256/2015"/>
    <x v="1"/>
    <n v="1"/>
    <m/>
    <n v="118379"/>
  </r>
  <r>
    <x v="678"/>
    <n v="493828"/>
    <x v="1"/>
    <s v="  "/>
    <n v="290"/>
    <s v="באר שבע, כלניות"/>
    <x v="2"/>
    <d v="2015-08-30T00:00:00"/>
    <x v="3"/>
    <n v="8"/>
    <s v="בש/407/2014"/>
    <x v="1"/>
    <n v="1"/>
    <m/>
    <n v="118500"/>
  </r>
  <r>
    <x v="679"/>
    <n v="480447"/>
    <x v="1"/>
    <s v="  "/>
    <n v="262"/>
    <s v="באר שבע, כלניות"/>
    <x v="2"/>
    <d v="2015-08-30T00:00:00"/>
    <x v="3"/>
    <n v="8"/>
    <s v="בש/407/2014"/>
    <x v="1"/>
    <n v="1"/>
    <m/>
    <n v="118888"/>
  </r>
  <r>
    <x v="680"/>
    <n v="567424"/>
    <x v="1"/>
    <s v="  "/>
    <n v="529"/>
    <s v="באר שבע, כלניות"/>
    <x v="2"/>
    <d v="2016-06-27T00:00:00"/>
    <x v="1"/>
    <n v="6"/>
    <s v="בש/256/2015"/>
    <x v="1"/>
    <n v="1"/>
    <m/>
    <n v="118999"/>
  </r>
  <r>
    <x v="681"/>
    <n v="604444"/>
    <x v="1"/>
    <s v="  "/>
    <n v="1059"/>
    <s v="באר שבע, כלניות"/>
    <x v="2"/>
    <d v="2016-06-27T00:00:00"/>
    <x v="1"/>
    <n v="6"/>
    <s v="בש/256/2015"/>
    <x v="1"/>
    <n v="1"/>
    <m/>
    <n v="119000"/>
  </r>
  <r>
    <x v="682"/>
    <n v="493828"/>
    <x v="1"/>
    <s v="  "/>
    <n v="392"/>
    <s v="באר שבע, כלניות"/>
    <x v="2"/>
    <d v="2015-08-30T00:00:00"/>
    <x v="3"/>
    <n v="8"/>
    <s v="בש/407/2014"/>
    <x v="1"/>
    <n v="1"/>
    <m/>
    <n v="119172"/>
  </r>
  <r>
    <x v="683"/>
    <n v="595331"/>
    <x v="1"/>
    <s v="  "/>
    <n v="1057"/>
    <s v="באר שבע, כלניות"/>
    <x v="2"/>
    <d v="2016-06-27T00:00:00"/>
    <x v="1"/>
    <n v="6"/>
    <s v="בש/256/2015"/>
    <x v="1"/>
    <n v="1"/>
    <m/>
    <n v="119658"/>
  </r>
  <r>
    <x v="684"/>
    <n v="487385"/>
    <x v="1"/>
    <s v="  "/>
    <n v="192"/>
    <s v="באר שבע, כלניות"/>
    <x v="2"/>
    <d v="2015-08-30T00:00:00"/>
    <x v="3"/>
    <n v="8"/>
    <s v="בש/407/2014"/>
    <x v="1"/>
    <n v="1"/>
    <m/>
    <n v="119800"/>
  </r>
  <r>
    <x v="685"/>
    <n v="478174"/>
    <x v="1"/>
    <s v="  "/>
    <n v="1363"/>
    <s v="באר שבע, כלניות"/>
    <x v="2"/>
    <d v="2016-06-27T00:00:00"/>
    <x v="1"/>
    <n v="6"/>
    <s v="בש/256/2015"/>
    <x v="1"/>
    <n v="1"/>
    <m/>
    <n v="120000"/>
  </r>
  <r>
    <x v="685"/>
    <n v="479456"/>
    <x v="1"/>
    <s v="  "/>
    <n v="438"/>
    <s v="באר שבע, כלניות"/>
    <x v="2"/>
    <d v="2015-08-30T00:00:00"/>
    <x v="3"/>
    <n v="8"/>
    <s v="בש/407/2014"/>
    <x v="1"/>
    <n v="1"/>
    <m/>
    <n v="120000"/>
  </r>
  <r>
    <x v="685"/>
    <n v="486890"/>
    <x v="1"/>
    <s v="  "/>
    <n v="487"/>
    <s v="באר שבע, כלניות"/>
    <x v="2"/>
    <d v="2015-08-30T00:00:00"/>
    <x v="3"/>
    <n v="8"/>
    <s v="בש/407/2014"/>
    <x v="1"/>
    <n v="1"/>
    <m/>
    <n v="120000"/>
  </r>
  <r>
    <x v="685"/>
    <n v="526358"/>
    <x v="1"/>
    <s v="  "/>
    <n v="669"/>
    <s v="באר שבע, כלניות"/>
    <x v="2"/>
    <d v="2015-08-30T00:00:00"/>
    <x v="3"/>
    <n v="8"/>
    <s v="בש/407/2014"/>
    <x v="1"/>
    <n v="1"/>
    <m/>
    <n v="120000"/>
  </r>
  <r>
    <x v="685"/>
    <n v="538378"/>
    <x v="1"/>
    <s v="  "/>
    <n v="1030"/>
    <s v="באר שבע, כלניות"/>
    <x v="2"/>
    <d v="2016-06-27T00:00:00"/>
    <x v="1"/>
    <n v="6"/>
    <s v="בש/256/2015"/>
    <x v="1"/>
    <n v="1"/>
    <m/>
    <n v="120000"/>
  </r>
  <r>
    <x v="685"/>
    <n v="542935"/>
    <x v="1"/>
    <s v="  "/>
    <n v="1414"/>
    <s v="באר שבע, כלניות"/>
    <x v="2"/>
    <d v="2016-06-27T00:00:00"/>
    <x v="1"/>
    <n v="6"/>
    <s v="בש/256/2015"/>
    <x v="1"/>
    <n v="1"/>
    <m/>
    <n v="120000"/>
  </r>
  <r>
    <x v="685"/>
    <n v="544643"/>
    <x v="1"/>
    <s v="  "/>
    <n v="1044"/>
    <s v="באר שבע, כלניות"/>
    <x v="2"/>
    <d v="2016-06-27T00:00:00"/>
    <x v="1"/>
    <n v="6"/>
    <s v="בש/256/2015"/>
    <x v="1"/>
    <n v="1"/>
    <m/>
    <n v="120000"/>
  </r>
  <r>
    <x v="685"/>
    <n v="544643"/>
    <x v="1"/>
    <s v="  "/>
    <n v="1053"/>
    <s v="באר שבע, כלניות"/>
    <x v="2"/>
    <d v="2016-06-27T00:00:00"/>
    <x v="1"/>
    <n v="6"/>
    <s v="בש/256/2015"/>
    <x v="1"/>
    <n v="1"/>
    <m/>
    <n v="120000"/>
  </r>
  <r>
    <x v="685"/>
    <n v="544643"/>
    <x v="1"/>
    <s v="  "/>
    <n v="1055"/>
    <s v="באר שבע, כלניות"/>
    <x v="2"/>
    <d v="2016-06-27T00:00:00"/>
    <x v="1"/>
    <n v="6"/>
    <s v="בש/256/2015"/>
    <x v="1"/>
    <n v="1"/>
    <m/>
    <n v="120000"/>
  </r>
  <r>
    <x v="685"/>
    <n v="560590"/>
    <x v="1"/>
    <s v="  "/>
    <n v="44"/>
    <s v="באר שבע, כלניות"/>
    <x v="2"/>
    <d v="2016-06-27T00:00:00"/>
    <x v="1"/>
    <n v="6"/>
    <s v="בש/256/2015"/>
    <x v="1"/>
    <n v="1"/>
    <m/>
    <n v="120000"/>
  </r>
  <r>
    <x v="685"/>
    <n v="564576"/>
    <x v="1"/>
    <s v="  "/>
    <n v="1067"/>
    <s v="באר שבע, כלניות"/>
    <x v="2"/>
    <d v="2016-06-27T00:00:00"/>
    <x v="1"/>
    <n v="6"/>
    <s v="בש/256/2015"/>
    <x v="1"/>
    <n v="1"/>
    <m/>
    <n v="120000"/>
  </r>
  <r>
    <x v="685"/>
    <n v="565715"/>
    <x v="1"/>
    <s v="  "/>
    <n v="329"/>
    <s v="באר שבע, כלניות"/>
    <x v="2"/>
    <d v="2016-06-27T00:00:00"/>
    <x v="1"/>
    <n v="6"/>
    <s v="בש/256/2015"/>
    <x v="1"/>
    <n v="1"/>
    <m/>
    <n v="120000"/>
  </r>
  <r>
    <x v="686"/>
    <n v="479456"/>
    <x v="1"/>
    <s v="  "/>
    <n v="260"/>
    <s v="באר שבע, כלניות"/>
    <x v="2"/>
    <d v="2015-08-30T00:00:00"/>
    <x v="3"/>
    <n v="8"/>
    <s v="בש/407/2014"/>
    <x v="1"/>
    <n v="1"/>
    <m/>
    <n v="120186"/>
  </r>
  <r>
    <x v="687"/>
    <n v="560590"/>
    <x v="1"/>
    <s v="  "/>
    <n v="46"/>
    <s v="באר שבע, כלניות"/>
    <x v="2"/>
    <d v="2016-06-27T00:00:00"/>
    <x v="1"/>
    <n v="6"/>
    <s v="בש/256/2015"/>
    <x v="1"/>
    <n v="1"/>
    <m/>
    <n v="120300"/>
  </r>
  <r>
    <x v="688"/>
    <n v="578246"/>
    <x v="1"/>
    <s v="  "/>
    <n v="1490"/>
    <s v="באר שבע, כלניות"/>
    <x v="2"/>
    <d v="2016-06-27T00:00:00"/>
    <x v="1"/>
    <n v="6"/>
    <s v="בש/256/2015"/>
    <x v="1"/>
    <n v="1"/>
    <m/>
    <n v="120502"/>
  </r>
  <r>
    <x v="689"/>
    <n v="534962"/>
    <x v="1"/>
    <s v="  "/>
    <n v="1458"/>
    <s v="באר שבע, כלניות"/>
    <x v="2"/>
    <d v="2016-06-27T00:00:00"/>
    <x v="1"/>
    <n v="6"/>
    <s v="בש/256/2015"/>
    <x v="1"/>
    <n v="1"/>
    <m/>
    <n v="120750"/>
  </r>
  <r>
    <x v="690"/>
    <n v="542364"/>
    <x v="1"/>
    <s v="  "/>
    <n v="1042"/>
    <s v="באר שבע, כלניות"/>
    <x v="2"/>
    <d v="2016-06-27T00:00:00"/>
    <x v="1"/>
    <n v="6"/>
    <s v="בש/256/2015"/>
    <x v="1"/>
    <n v="1"/>
    <m/>
    <n v="121000"/>
  </r>
  <r>
    <x v="690"/>
    <n v="594192"/>
    <x v="1"/>
    <s v="  "/>
    <n v="1228"/>
    <s v="באר שבע, כלניות"/>
    <x v="2"/>
    <d v="2016-06-27T00:00:00"/>
    <x v="1"/>
    <n v="6"/>
    <s v="בש/256/2015"/>
    <x v="1"/>
    <n v="1"/>
    <m/>
    <n v="121000"/>
  </r>
  <r>
    <x v="691"/>
    <n v="483916"/>
    <x v="1"/>
    <s v="  "/>
    <n v="441"/>
    <s v="באר שבע, כלניות"/>
    <x v="2"/>
    <d v="2015-08-30T00:00:00"/>
    <x v="3"/>
    <n v="8"/>
    <s v="בש/407/2014"/>
    <x v="1"/>
    <n v="1"/>
    <m/>
    <n v="121001"/>
  </r>
  <r>
    <x v="692"/>
    <n v="486394"/>
    <x v="1"/>
    <s v="  "/>
    <n v="286"/>
    <s v="באר שבע, כלניות"/>
    <x v="2"/>
    <d v="2015-08-30T00:00:00"/>
    <x v="3"/>
    <n v="8"/>
    <s v="בש/407/2014"/>
    <x v="1"/>
    <n v="1"/>
    <m/>
    <n v="121101"/>
  </r>
  <r>
    <x v="693"/>
    <n v="492342"/>
    <x v="1"/>
    <s v="  "/>
    <n v="53"/>
    <s v="באר שבע, כלניות"/>
    <x v="2"/>
    <d v="2015-08-30T00:00:00"/>
    <x v="3"/>
    <n v="8"/>
    <s v="בש/407/2014"/>
    <x v="1"/>
    <n v="1"/>
    <m/>
    <n v="121121"/>
  </r>
  <r>
    <x v="694"/>
    <n v="480447"/>
    <x v="1"/>
    <s v="  "/>
    <n v="189"/>
    <s v="באר שבע, כלניות"/>
    <x v="2"/>
    <d v="2015-08-30T00:00:00"/>
    <x v="3"/>
    <n v="8"/>
    <s v="בש/407/2014"/>
    <x v="1"/>
    <n v="1"/>
    <m/>
    <n v="121140"/>
  </r>
  <r>
    <x v="695"/>
    <n v="484908"/>
    <x v="1"/>
    <s v="  "/>
    <n v="167"/>
    <s v="באר שבע, כלניות"/>
    <x v="2"/>
    <d v="2015-08-30T00:00:00"/>
    <x v="3"/>
    <n v="8"/>
    <s v="בש/407/2014"/>
    <x v="1"/>
    <n v="1"/>
    <m/>
    <n v="121317"/>
  </r>
  <r>
    <x v="696"/>
    <n v="564576"/>
    <x v="1"/>
    <s v="  "/>
    <n v="1003"/>
    <s v="באר שבע, כלניות"/>
    <x v="2"/>
    <d v="2016-06-27T00:00:00"/>
    <x v="1"/>
    <n v="6"/>
    <s v="בש/256/2015"/>
    <x v="1"/>
    <n v="1"/>
    <m/>
    <n v="121450"/>
  </r>
  <r>
    <x v="697"/>
    <n v="569435"/>
    <x v="1"/>
    <s v="  "/>
    <n v="1305"/>
    <s v="באר שבע, כלניות"/>
    <x v="2"/>
    <d v="2016-06-27T00:00:00"/>
    <x v="1"/>
    <n v="6"/>
    <s v="בש/256/2015"/>
    <x v="1"/>
    <n v="1"/>
    <m/>
    <n v="121479"/>
  </r>
  <r>
    <x v="698"/>
    <n v="485899"/>
    <x v="1"/>
    <s v="  "/>
    <n v="306"/>
    <s v="באר שבע, כלניות"/>
    <x v="2"/>
    <d v="2015-08-30T00:00:00"/>
    <x v="3"/>
    <n v="8"/>
    <s v="בש/407/2014"/>
    <x v="1"/>
    <n v="1"/>
    <m/>
    <n v="121500"/>
  </r>
  <r>
    <x v="699"/>
    <n v="458241"/>
    <x v="1"/>
    <s v="  "/>
    <n v="1151"/>
    <s v="באר שבע, כלניות"/>
    <x v="2"/>
    <d v="2016-06-27T00:00:00"/>
    <x v="1"/>
    <n v="6"/>
    <s v="בש/256/2015"/>
    <x v="1"/>
    <n v="1"/>
    <m/>
    <n v="121600"/>
  </r>
  <r>
    <x v="700"/>
    <n v="560021"/>
    <x v="1"/>
    <s v="  "/>
    <n v="45"/>
    <s v="באר שבע, כלניות"/>
    <x v="2"/>
    <d v="2016-06-27T00:00:00"/>
    <x v="1"/>
    <n v="6"/>
    <s v="בש/256/2015"/>
    <x v="1"/>
    <n v="1"/>
    <m/>
    <n v="121619"/>
  </r>
  <r>
    <x v="701"/>
    <n v="493333"/>
    <x v="1"/>
    <s v="  "/>
    <n v="28"/>
    <s v="באר שבע, כלניות"/>
    <x v="2"/>
    <d v="2015-08-30T00:00:00"/>
    <x v="3"/>
    <n v="8"/>
    <s v="בש/407/2014"/>
    <x v="1"/>
    <n v="1"/>
    <m/>
    <n v="121801"/>
  </r>
  <r>
    <x v="702"/>
    <n v="557173"/>
    <x v="1"/>
    <s v="  "/>
    <n v="442"/>
    <s v="באר שבע, כלניות"/>
    <x v="2"/>
    <d v="2016-06-27T00:00:00"/>
    <x v="1"/>
    <n v="6"/>
    <s v="בש/256/2015"/>
    <x v="1"/>
    <n v="1"/>
    <m/>
    <n v="122000"/>
  </r>
  <r>
    <x v="703"/>
    <n v="507705"/>
    <x v="1"/>
    <s v="  "/>
    <n v="294"/>
    <s v="באר שבע, כלניות"/>
    <x v="2"/>
    <d v="2015-08-30T00:00:00"/>
    <x v="3"/>
    <n v="8"/>
    <s v="בש/407/2014"/>
    <x v="1"/>
    <n v="1"/>
    <m/>
    <n v="122284"/>
  </r>
  <r>
    <x v="704"/>
    <n v="477035"/>
    <x v="1"/>
    <s v="  "/>
    <n v="1534"/>
    <s v="באר שבע, כלניות"/>
    <x v="2"/>
    <d v="2016-06-27T00:00:00"/>
    <x v="1"/>
    <n v="6"/>
    <s v="בש/256/2015"/>
    <x v="1"/>
    <n v="1"/>
    <m/>
    <n v="122825"/>
  </r>
  <r>
    <x v="705"/>
    <n v="481934"/>
    <x v="1"/>
    <s v="  "/>
    <n v="319"/>
    <s v="באר שבע, כלניות"/>
    <x v="2"/>
    <d v="2015-08-30T00:00:00"/>
    <x v="3"/>
    <n v="8"/>
    <s v="בש/407/2014"/>
    <x v="1"/>
    <n v="1"/>
    <m/>
    <n v="123123"/>
  </r>
  <r>
    <x v="706"/>
    <n v="569435"/>
    <x v="1"/>
    <s v="  "/>
    <n v="1304"/>
    <s v="באר שבע, כלניות"/>
    <x v="2"/>
    <d v="2016-06-27T00:00:00"/>
    <x v="1"/>
    <n v="6"/>
    <s v="בש/256/2015"/>
    <x v="1"/>
    <n v="1"/>
    <m/>
    <n v="123456"/>
  </r>
  <r>
    <x v="707"/>
    <n v="490359"/>
    <x v="1"/>
    <s v="  "/>
    <n v="455"/>
    <s v="באר שבע, כלניות"/>
    <x v="2"/>
    <d v="2015-08-30T00:00:00"/>
    <x v="3"/>
    <n v="8"/>
    <s v="בש/407/2014"/>
    <x v="1"/>
    <n v="1"/>
    <m/>
    <n v="123500"/>
  </r>
  <r>
    <x v="708"/>
    <n v="479456"/>
    <x v="1"/>
    <s v="  "/>
    <n v="255"/>
    <s v="באר שבע, כלניות"/>
    <x v="2"/>
    <d v="2015-08-30T00:00:00"/>
    <x v="3"/>
    <n v="8"/>
    <s v="בש/407/2014"/>
    <x v="1"/>
    <n v="1"/>
    <m/>
    <n v="123550"/>
  </r>
  <r>
    <x v="709"/>
    <n v="489368"/>
    <x v="1"/>
    <s v="  "/>
    <n v="200"/>
    <s v="באר שבע, כלניות"/>
    <x v="2"/>
    <d v="2015-08-30T00:00:00"/>
    <x v="3"/>
    <n v="8"/>
    <s v="בש/407/2014"/>
    <x v="1"/>
    <n v="1"/>
    <m/>
    <n v="123818"/>
  </r>
  <r>
    <x v="710"/>
    <n v="578246"/>
    <x v="1"/>
    <s v="  "/>
    <n v="1487"/>
    <s v="באר שבע, כלניות"/>
    <x v="2"/>
    <d v="2016-06-27T00:00:00"/>
    <x v="1"/>
    <n v="6"/>
    <s v="בש/256/2015"/>
    <x v="1"/>
    <n v="1"/>
    <m/>
    <n v="123875"/>
  </r>
  <r>
    <x v="711"/>
    <n v="488377"/>
    <x v="1"/>
    <s v="  "/>
    <n v="131"/>
    <s v="באר שבע, כלניות"/>
    <x v="2"/>
    <d v="2015-08-30T00:00:00"/>
    <x v="3"/>
    <n v="8"/>
    <s v="בש/407/2014"/>
    <x v="1"/>
    <n v="1"/>
    <m/>
    <n v="124760"/>
  </r>
  <r>
    <x v="712"/>
    <n v="544643"/>
    <x v="1"/>
    <s v="  "/>
    <n v="1435"/>
    <s v="באר שבע, כלניות"/>
    <x v="2"/>
    <d v="2016-06-27T00:00:00"/>
    <x v="1"/>
    <n v="6"/>
    <s v="בש/256/2015"/>
    <x v="1"/>
    <n v="1"/>
    <m/>
    <n v="124802"/>
  </r>
  <r>
    <x v="713"/>
    <n v="485899"/>
    <x v="1"/>
    <s v="  "/>
    <n v="379"/>
    <s v="באר שבע, כלניות"/>
    <x v="2"/>
    <d v="2015-08-30T00:00:00"/>
    <x v="3"/>
    <n v="8"/>
    <s v="בש/407/2014"/>
    <x v="1"/>
    <n v="1"/>
    <m/>
    <n v="125000"/>
  </r>
  <r>
    <x v="713"/>
    <n v="554324"/>
    <x v="1"/>
    <s v="  "/>
    <n v="252"/>
    <s v="באר שבע, כלניות"/>
    <x v="2"/>
    <d v="2016-06-27T00:00:00"/>
    <x v="1"/>
    <n v="6"/>
    <s v="בש/256/2015"/>
    <x v="1"/>
    <n v="1"/>
    <m/>
    <n v="125000"/>
  </r>
  <r>
    <x v="713"/>
    <n v="554324"/>
    <x v="1"/>
    <s v="  "/>
    <n v="264"/>
    <s v="באר שבע, כלניות"/>
    <x v="2"/>
    <d v="2016-06-27T00:00:00"/>
    <x v="1"/>
    <n v="6"/>
    <s v="בש/256/2015"/>
    <x v="1"/>
    <n v="1"/>
    <m/>
    <n v="125000"/>
  </r>
  <r>
    <x v="713"/>
    <n v="555464"/>
    <x v="1"/>
    <s v="  "/>
    <n v="245"/>
    <s v="באר שבע, כלניות"/>
    <x v="2"/>
    <d v="2016-06-27T00:00:00"/>
    <x v="1"/>
    <n v="6"/>
    <s v="בש/256/2015"/>
    <x v="1"/>
    <n v="1"/>
    <m/>
    <n v="125000"/>
  </r>
  <r>
    <x v="713"/>
    <n v="555464"/>
    <x v="1"/>
    <s v="  "/>
    <n v="253"/>
    <s v="באר שבע, כלניות"/>
    <x v="2"/>
    <d v="2016-06-27T00:00:00"/>
    <x v="1"/>
    <n v="6"/>
    <s v="בש/256/2015"/>
    <x v="1"/>
    <n v="1"/>
    <m/>
    <n v="125000"/>
  </r>
  <r>
    <x v="713"/>
    <n v="556034"/>
    <x v="1"/>
    <s v="  "/>
    <n v="1343"/>
    <s v="באר שבע, כלניות"/>
    <x v="2"/>
    <d v="2016-06-27T00:00:00"/>
    <x v="1"/>
    <n v="6"/>
    <s v="בש/256/2015"/>
    <x v="1"/>
    <n v="1"/>
    <m/>
    <n v="125000"/>
  </r>
  <r>
    <x v="713"/>
    <n v="566286"/>
    <x v="1"/>
    <s v="  "/>
    <n v="1528"/>
    <s v="באר שבע, כלניות"/>
    <x v="2"/>
    <d v="2016-06-27T00:00:00"/>
    <x v="1"/>
    <n v="6"/>
    <s v="בש/256/2015"/>
    <x v="1"/>
    <n v="1"/>
    <m/>
    <n v="125000"/>
  </r>
  <r>
    <x v="714"/>
    <n v="492837"/>
    <x v="1"/>
    <s v="  "/>
    <n v="41"/>
    <s v="באר שבע, כלניות"/>
    <x v="2"/>
    <d v="2015-08-30T00:00:00"/>
    <x v="3"/>
    <n v="8"/>
    <s v="בש/407/2014"/>
    <x v="1"/>
    <n v="1"/>
    <m/>
    <n v="125252"/>
  </r>
  <r>
    <x v="715"/>
    <n v="482430"/>
    <x v="1"/>
    <s v="  "/>
    <n v="504"/>
    <s v="באר שבע, כלניות"/>
    <x v="2"/>
    <d v="2015-08-30T00:00:00"/>
    <x v="3"/>
    <n v="8"/>
    <s v="בש/407/2014"/>
    <x v="1"/>
    <n v="1"/>
    <m/>
    <n v="125270"/>
  </r>
  <r>
    <x v="716"/>
    <n v="505722"/>
    <x v="1"/>
    <s v="  "/>
    <n v="50"/>
    <s v="באר שבע, כלניות"/>
    <x v="2"/>
    <d v="2015-08-30T00:00:00"/>
    <x v="3"/>
    <n v="8"/>
    <s v="בש/407/2014"/>
    <x v="1"/>
    <n v="1"/>
    <m/>
    <n v="125300"/>
  </r>
  <r>
    <x v="717"/>
    <n v="482731"/>
    <x v="1"/>
    <s v="  "/>
    <n v="1591"/>
    <s v="באר שבע, כלניות"/>
    <x v="2"/>
    <d v="2016-06-27T00:00:00"/>
    <x v="1"/>
    <n v="6"/>
    <s v="בש/256/2015"/>
    <x v="1"/>
    <n v="1"/>
    <m/>
    <n v="125330"/>
  </r>
  <r>
    <x v="718"/>
    <n v="554324"/>
    <x v="1"/>
    <s v="  "/>
    <n v="259"/>
    <s v="באר שבע, כלניות"/>
    <x v="2"/>
    <d v="2016-06-27T00:00:00"/>
    <x v="1"/>
    <n v="6"/>
    <s v="בש/256/2015"/>
    <x v="1"/>
    <n v="1"/>
    <m/>
    <n v="125500"/>
  </r>
  <r>
    <x v="719"/>
    <n v="491845"/>
    <x v="1"/>
    <s v="  "/>
    <n v="413"/>
    <s v="באר שבע, כלניות"/>
    <x v="2"/>
    <d v="2015-08-30T00:00:00"/>
    <x v="3"/>
    <n v="8"/>
    <s v="בש/407/2014"/>
    <x v="1"/>
    <n v="1"/>
    <m/>
    <n v="125505"/>
  </r>
  <r>
    <x v="720"/>
    <n v="483421"/>
    <x v="1"/>
    <s v="  "/>
    <n v="242"/>
    <s v="באר שבע, כלניות"/>
    <x v="2"/>
    <d v="2015-08-30T00:00:00"/>
    <x v="3"/>
    <n v="8"/>
    <s v="בש/407/2014"/>
    <x v="1"/>
    <n v="1"/>
    <m/>
    <n v="125555"/>
  </r>
  <r>
    <x v="721"/>
    <n v="554895"/>
    <x v="1"/>
    <s v="  "/>
    <n v="1506"/>
    <s v="באר שבע, כלניות"/>
    <x v="2"/>
    <d v="2016-06-27T00:00:00"/>
    <x v="1"/>
    <n v="6"/>
    <s v="בש/256/2015"/>
    <x v="1"/>
    <n v="1"/>
    <m/>
    <n v="125600"/>
  </r>
  <r>
    <x v="722"/>
    <n v="474500"/>
    <x v="1"/>
    <s v="  "/>
    <n v="506"/>
    <s v="באר שבע, כלניות"/>
    <x v="2"/>
    <d v="2015-08-30T00:00:00"/>
    <x v="3"/>
    <n v="8"/>
    <s v="בש/407/2014"/>
    <x v="1"/>
    <n v="1"/>
    <m/>
    <n v="125701"/>
  </r>
  <r>
    <x v="723"/>
    <n v="479456"/>
    <x v="1"/>
    <s v="  "/>
    <n v="185"/>
    <s v="באר שבע, כלניות"/>
    <x v="2"/>
    <d v="2015-08-30T00:00:00"/>
    <x v="3"/>
    <n v="8"/>
    <s v="בש/407/2014"/>
    <x v="1"/>
    <n v="1"/>
    <m/>
    <n v="126000"/>
  </r>
  <r>
    <x v="723"/>
    <n v="579954"/>
    <x v="1"/>
    <s v="  "/>
    <n v="1024"/>
    <s v="באר שבע, כלניות"/>
    <x v="2"/>
    <d v="2016-06-27T00:00:00"/>
    <x v="1"/>
    <n v="6"/>
    <s v="בש/256/2015"/>
    <x v="1"/>
    <n v="1"/>
    <m/>
    <n v="126000"/>
  </r>
  <r>
    <x v="724"/>
    <n v="484908"/>
    <x v="1"/>
    <s v="  "/>
    <n v="182"/>
    <s v="באר שבע, כלניות"/>
    <x v="2"/>
    <d v="2015-08-30T00:00:00"/>
    <x v="3"/>
    <n v="8"/>
    <s v="בש/407/2014"/>
    <x v="1"/>
    <n v="1"/>
    <m/>
    <n v="126026"/>
  </r>
  <r>
    <x v="724"/>
    <n v="484908"/>
    <x v="1"/>
    <s v="  "/>
    <n v="187"/>
    <s v="באר שבע, כלניות"/>
    <x v="2"/>
    <d v="2015-08-30T00:00:00"/>
    <x v="3"/>
    <n v="8"/>
    <s v="בש/407/2014"/>
    <x v="1"/>
    <n v="1"/>
    <m/>
    <n v="126026"/>
  </r>
  <r>
    <x v="724"/>
    <n v="494819"/>
    <x v="1"/>
    <s v="  "/>
    <n v="360"/>
    <s v="באר שבע, כלניות"/>
    <x v="2"/>
    <d v="2015-08-30T00:00:00"/>
    <x v="3"/>
    <n v="8"/>
    <s v="בש/407/2014"/>
    <x v="1"/>
    <n v="1"/>
    <m/>
    <n v="126026"/>
  </r>
  <r>
    <x v="725"/>
    <n v="563437"/>
    <x v="1"/>
    <s v="  "/>
    <n v="371"/>
    <s v="באר שבע, כלניות"/>
    <x v="2"/>
    <d v="2016-06-27T00:00:00"/>
    <x v="1"/>
    <n v="6"/>
    <s v="בש/256/2015"/>
    <x v="1"/>
    <n v="1"/>
    <m/>
    <n v="126036"/>
  </r>
  <r>
    <x v="726"/>
    <n v="479883"/>
    <x v="1"/>
    <s v="  "/>
    <n v="1535"/>
    <s v="באר שבע, כלניות"/>
    <x v="2"/>
    <d v="2016-06-27T00:00:00"/>
    <x v="1"/>
    <n v="6"/>
    <s v="בש/256/2015"/>
    <x v="1"/>
    <n v="1"/>
    <m/>
    <n v="126262"/>
  </r>
  <r>
    <x v="727"/>
    <n v="591544"/>
    <x v="1"/>
    <s v="  "/>
    <n v="653"/>
    <s v="באר שבע, כלניות"/>
    <x v="2"/>
    <d v="2016-06-27T00:00:00"/>
    <x v="1"/>
    <n v="6"/>
    <s v="בש/256/2015"/>
    <x v="1"/>
    <n v="1"/>
    <m/>
    <n v="126485"/>
  </r>
  <r>
    <x v="728"/>
    <n v="552616"/>
    <x v="1"/>
    <s v="  "/>
    <n v="1347"/>
    <s v="באר שבע, כלניות"/>
    <x v="2"/>
    <d v="2016-06-27T00:00:00"/>
    <x v="1"/>
    <n v="6"/>
    <s v="בש/256/2015"/>
    <x v="1"/>
    <n v="1"/>
    <m/>
    <n v="127000"/>
  </r>
  <r>
    <x v="729"/>
    <n v="566286"/>
    <x v="1"/>
    <s v="  "/>
    <n v="1002"/>
    <s v="באר שבע, כלניות"/>
    <x v="2"/>
    <d v="2016-06-27T00:00:00"/>
    <x v="1"/>
    <n v="6"/>
    <s v="בש/256/2015"/>
    <x v="1"/>
    <n v="1"/>
    <m/>
    <n v="127127"/>
  </r>
  <r>
    <x v="730"/>
    <n v="565715"/>
    <x v="1"/>
    <s v="  "/>
    <n v="39"/>
    <s v="באר שבע, כלניות"/>
    <x v="2"/>
    <d v="2016-06-27T00:00:00"/>
    <x v="1"/>
    <n v="6"/>
    <s v="בש/256/2015"/>
    <x v="1"/>
    <n v="1"/>
    <m/>
    <n v="127139"/>
  </r>
  <r>
    <x v="731"/>
    <n v="489368"/>
    <x v="1"/>
    <s v="  "/>
    <n v="269"/>
    <s v="באר שבע, כלניות"/>
    <x v="2"/>
    <d v="2015-08-30T00:00:00"/>
    <x v="3"/>
    <n v="8"/>
    <s v="בש/407/2014"/>
    <x v="1"/>
    <n v="1"/>
    <m/>
    <n v="127555"/>
  </r>
  <r>
    <x v="732"/>
    <n v="503245"/>
    <x v="1"/>
    <s v="  "/>
    <n v="229"/>
    <s v="באר שבע, כלניות"/>
    <x v="2"/>
    <d v="2015-08-30T00:00:00"/>
    <x v="3"/>
    <n v="8"/>
    <s v="בש/407/2014"/>
    <x v="1"/>
    <n v="1"/>
    <m/>
    <n v="127990"/>
  </r>
  <r>
    <x v="733"/>
    <n v="493333"/>
    <x v="1"/>
    <s v="  "/>
    <n v="401"/>
    <s v="באר שבע, כלניות"/>
    <x v="2"/>
    <d v="2015-08-30T00:00:00"/>
    <x v="3"/>
    <n v="8"/>
    <s v="בש/407/2014"/>
    <x v="1"/>
    <n v="1"/>
    <m/>
    <n v="128455"/>
  </r>
  <r>
    <x v="734"/>
    <n v="555464"/>
    <x v="1"/>
    <s v="  "/>
    <n v="443"/>
    <s v="באר שבע, כלניות"/>
    <x v="2"/>
    <d v="2016-06-27T00:00:00"/>
    <x v="1"/>
    <n v="6"/>
    <s v="בש/256/2015"/>
    <x v="1"/>
    <n v="1"/>
    <m/>
    <n v="129000"/>
  </r>
  <r>
    <x v="735"/>
    <n v="524375"/>
    <x v="1"/>
    <s v="  "/>
    <n v="674"/>
    <s v="באר שבע, כלניות"/>
    <x v="2"/>
    <d v="2015-08-30T00:00:00"/>
    <x v="3"/>
    <n v="8"/>
    <s v="בש/407/2014"/>
    <x v="1"/>
    <n v="1"/>
    <m/>
    <n v="129084"/>
  </r>
  <r>
    <x v="736"/>
    <n v="480942"/>
    <x v="1"/>
    <s v="  "/>
    <n v="1"/>
    <s v="באר שבע, כלניות"/>
    <x v="2"/>
    <d v="2015-08-30T00:00:00"/>
    <x v="3"/>
    <n v="8"/>
    <s v="בש/407/2014"/>
    <x v="1"/>
    <n v="1"/>
    <m/>
    <n v="129100"/>
  </r>
  <r>
    <x v="737"/>
    <n v="484413"/>
    <x v="1"/>
    <s v="  "/>
    <n v="102"/>
    <s v="באר שבע, כלניות"/>
    <x v="2"/>
    <d v="2015-08-30T00:00:00"/>
    <x v="3"/>
    <n v="8"/>
    <s v="בש/407/2014"/>
    <x v="1"/>
    <n v="1"/>
    <m/>
    <n v="129489"/>
  </r>
  <r>
    <x v="738"/>
    <n v="481934"/>
    <x v="1"/>
    <s v="  "/>
    <n v="160"/>
    <s v="באר שבע, כלניות"/>
    <x v="2"/>
    <d v="2015-08-30T00:00:00"/>
    <x v="3"/>
    <n v="8"/>
    <s v="בש/407/2014"/>
    <x v="1"/>
    <n v="1"/>
    <m/>
    <n v="129560"/>
  </r>
  <r>
    <x v="739"/>
    <n v="484413"/>
    <x v="1"/>
    <s v="  "/>
    <n v="60"/>
    <s v="באר שבע, כלניות"/>
    <x v="2"/>
    <d v="2015-08-30T00:00:00"/>
    <x v="3"/>
    <n v="8"/>
    <s v="בש/407/2014"/>
    <x v="1"/>
    <n v="1"/>
    <m/>
    <n v="130000"/>
  </r>
  <r>
    <x v="739"/>
    <n v="548061"/>
    <x v="1"/>
    <s v="  "/>
    <n v="1118"/>
    <s v="באר שבע, כלניות"/>
    <x v="2"/>
    <d v="2016-06-27T00:00:00"/>
    <x v="1"/>
    <n v="6"/>
    <s v="בש/256/2015"/>
    <x v="1"/>
    <n v="1"/>
    <m/>
    <n v="130000"/>
  </r>
  <r>
    <x v="739"/>
    <n v="550338"/>
    <x v="1"/>
    <s v="  "/>
    <n v="1342"/>
    <s v="באר שבע, כלניות"/>
    <x v="2"/>
    <d v="2016-06-27T00:00:00"/>
    <x v="1"/>
    <n v="6"/>
    <s v="בש/256/2015"/>
    <x v="1"/>
    <n v="1"/>
    <m/>
    <n v="130000"/>
  </r>
  <r>
    <x v="739"/>
    <n v="550908"/>
    <x v="1"/>
    <s v="  "/>
    <n v="1126"/>
    <s v="באר שבע, כלניות"/>
    <x v="2"/>
    <d v="2016-06-27T00:00:00"/>
    <x v="1"/>
    <n v="6"/>
    <s v="בש/256/2015"/>
    <x v="1"/>
    <n v="1"/>
    <m/>
    <n v="130000"/>
  </r>
  <r>
    <x v="739"/>
    <n v="550908"/>
    <x v="1"/>
    <s v="  "/>
    <n v="1291"/>
    <s v="באר שבע, כלניות"/>
    <x v="2"/>
    <d v="2016-06-27T00:00:00"/>
    <x v="1"/>
    <n v="6"/>
    <s v="בש/256/2015"/>
    <x v="1"/>
    <n v="1"/>
    <m/>
    <n v="130000"/>
  </r>
  <r>
    <x v="739"/>
    <n v="565715"/>
    <x v="1"/>
    <s v="  "/>
    <n v="320"/>
    <s v="באר שבע, כלניות"/>
    <x v="2"/>
    <d v="2016-06-27T00:00:00"/>
    <x v="1"/>
    <n v="6"/>
    <s v="בש/256/2015"/>
    <x v="1"/>
    <n v="1"/>
    <m/>
    <n v="130000"/>
  </r>
  <r>
    <x v="739"/>
    <n v="575967"/>
    <x v="1"/>
    <s v="  "/>
    <n v="1357"/>
    <s v="באר שבע, כלניות"/>
    <x v="2"/>
    <d v="2016-06-27T00:00:00"/>
    <x v="1"/>
    <n v="6"/>
    <s v="בש/256/2015"/>
    <x v="1"/>
    <n v="1"/>
    <m/>
    <n v="130000"/>
  </r>
  <r>
    <x v="740"/>
    <n v="548630"/>
    <x v="1"/>
    <s v="  "/>
    <n v="1328"/>
    <s v="באר שבע, כלניות"/>
    <x v="2"/>
    <d v="2016-06-27T00:00:00"/>
    <x v="1"/>
    <n v="6"/>
    <s v="בש/256/2015"/>
    <x v="1"/>
    <n v="1"/>
    <m/>
    <n v="131000"/>
  </r>
  <r>
    <x v="740"/>
    <n v="551477"/>
    <x v="1"/>
    <s v="  "/>
    <n v="1434"/>
    <s v="באר שבע, כלניות"/>
    <x v="2"/>
    <d v="2016-06-27T00:00:00"/>
    <x v="1"/>
    <n v="6"/>
    <s v="בש/256/2015"/>
    <x v="1"/>
    <n v="1"/>
    <m/>
    <n v="131000"/>
  </r>
  <r>
    <x v="740"/>
    <n v="602734"/>
    <x v="1"/>
    <s v="  "/>
    <n v="1606"/>
    <s v="באר שבע, כלניות"/>
    <x v="2"/>
    <d v="2016-06-27T00:00:00"/>
    <x v="1"/>
    <n v="6"/>
    <s v="בש/256/2015"/>
    <x v="1"/>
    <n v="1"/>
    <m/>
    <n v="131000"/>
  </r>
  <r>
    <x v="741"/>
    <n v="490359"/>
    <x v="1"/>
    <s v="  "/>
    <n v="299"/>
    <s v="באר שבע, כלניות"/>
    <x v="2"/>
    <d v="2015-08-30T00:00:00"/>
    <x v="3"/>
    <n v="8"/>
    <s v="בש/407/2014"/>
    <x v="1"/>
    <n v="1"/>
    <m/>
    <n v="131118"/>
  </r>
  <r>
    <x v="742"/>
    <n v="493333"/>
    <x v="1"/>
    <s v="  "/>
    <n v="435"/>
    <s v="באר שבע, כלניות"/>
    <x v="2"/>
    <d v="2015-08-30T00:00:00"/>
    <x v="3"/>
    <n v="8"/>
    <s v="בש/407/2014"/>
    <x v="1"/>
    <n v="1"/>
    <m/>
    <n v="131501"/>
  </r>
  <r>
    <x v="743"/>
    <n v="483421"/>
    <x v="1"/>
    <s v="  "/>
    <n v="243"/>
    <s v="באר שבע, כלניות"/>
    <x v="2"/>
    <d v="2015-08-30T00:00:00"/>
    <x v="3"/>
    <n v="8"/>
    <s v="בש/407/2014"/>
    <x v="1"/>
    <n v="1"/>
    <m/>
    <n v="131630"/>
  </r>
  <r>
    <x v="744"/>
    <n v="544074"/>
    <x v="1"/>
    <s v="  "/>
    <n v="1038"/>
    <s v="באר שבע, כלניות"/>
    <x v="2"/>
    <d v="2016-06-27T00:00:00"/>
    <x v="1"/>
    <n v="6"/>
    <s v="בש/256/2015"/>
    <x v="1"/>
    <n v="1"/>
    <m/>
    <n v="131750"/>
  </r>
  <r>
    <x v="745"/>
    <n v="544643"/>
    <x v="1"/>
    <s v="  "/>
    <n v="1436"/>
    <s v="באר שבע, כלניות"/>
    <x v="2"/>
    <d v="2016-06-27T00:00:00"/>
    <x v="1"/>
    <n v="6"/>
    <s v="בש/256/2015"/>
    <x v="1"/>
    <n v="1"/>
    <m/>
    <n v="131777"/>
  </r>
  <r>
    <x v="746"/>
    <n v="545782"/>
    <x v="1"/>
    <s v="  "/>
    <n v="1037"/>
    <s v="באר שבע, כלניות"/>
    <x v="2"/>
    <d v="2016-06-27T00:00:00"/>
    <x v="1"/>
    <n v="6"/>
    <s v="בש/256/2015"/>
    <x v="1"/>
    <n v="1"/>
    <m/>
    <n v="131925"/>
  </r>
  <r>
    <x v="747"/>
    <n v="542935"/>
    <x v="1"/>
    <s v="  "/>
    <n v="1468"/>
    <s v="באר שבע, כלניות"/>
    <x v="2"/>
    <d v="2016-06-27T00:00:00"/>
    <x v="1"/>
    <n v="6"/>
    <s v="בש/256/2015"/>
    <x v="1"/>
    <n v="1"/>
    <m/>
    <n v="132000"/>
  </r>
  <r>
    <x v="747"/>
    <n v="578079"/>
    <x v="1"/>
    <s v="  "/>
    <n v="27"/>
    <s v="באר שבע, כלניות"/>
    <x v="2"/>
    <d v="2015-08-30T00:00:00"/>
    <x v="3"/>
    <n v="8"/>
    <s v="בש/407/2014"/>
    <x v="1"/>
    <n v="1"/>
    <m/>
    <n v="132000"/>
  </r>
  <r>
    <x v="747"/>
    <n v="595900"/>
    <x v="1"/>
    <s v="  "/>
    <n v="1012"/>
    <s v="באר שבע, כלניות"/>
    <x v="2"/>
    <d v="2016-06-27T00:00:00"/>
    <x v="1"/>
    <n v="6"/>
    <s v="בש/256/2015"/>
    <x v="1"/>
    <n v="1"/>
    <m/>
    <n v="132000"/>
  </r>
  <r>
    <x v="748"/>
    <n v="553755"/>
    <x v="1"/>
    <s v="  "/>
    <n v="1096"/>
    <s v="באר שבע, כלניות"/>
    <x v="2"/>
    <d v="2016-06-27T00:00:00"/>
    <x v="1"/>
    <n v="6"/>
    <s v="בש/256/2015"/>
    <x v="1"/>
    <n v="1"/>
    <m/>
    <n v="132200"/>
  </r>
  <r>
    <x v="749"/>
    <n v="595900"/>
    <x v="1"/>
    <s v="  "/>
    <n v="1422"/>
    <s v="באר שבע, כלניות"/>
    <x v="2"/>
    <d v="2016-06-27T00:00:00"/>
    <x v="1"/>
    <n v="6"/>
    <s v="בש/256/2015"/>
    <x v="1"/>
    <n v="1"/>
    <m/>
    <n v="132555"/>
  </r>
  <r>
    <x v="750"/>
    <n v="570272"/>
    <x v="1"/>
    <s v="  "/>
    <n v="30"/>
    <s v="באר שבע, כלניות"/>
    <x v="2"/>
    <d v="2016-06-27T00:00:00"/>
    <x v="1"/>
    <n v="6"/>
    <s v="בש/256/2015"/>
    <x v="1"/>
    <n v="1"/>
    <m/>
    <n v="132835"/>
  </r>
  <r>
    <x v="751"/>
    <n v="493828"/>
    <x v="1"/>
    <s v="  "/>
    <n v="173"/>
    <s v="באר שבע, כלניות"/>
    <x v="2"/>
    <d v="2015-08-30T00:00:00"/>
    <x v="3"/>
    <n v="8"/>
    <s v="בש/407/2014"/>
    <x v="1"/>
    <n v="1"/>
    <m/>
    <n v="133000"/>
  </r>
  <r>
    <x v="752"/>
    <n v="544074"/>
    <x v="1"/>
    <s v="  "/>
    <n v="1080"/>
    <s v="באר שבע, כלניות"/>
    <x v="2"/>
    <d v="2016-06-27T00:00:00"/>
    <x v="1"/>
    <n v="6"/>
    <s v="בש/256/2015"/>
    <x v="1"/>
    <n v="1"/>
    <m/>
    <n v="133369"/>
  </r>
  <r>
    <x v="753"/>
    <n v="496802"/>
    <x v="1"/>
    <s v="  "/>
    <n v="445"/>
    <s v="באר שבע, כלניות"/>
    <x v="2"/>
    <d v="2015-08-30T00:00:00"/>
    <x v="3"/>
    <n v="8"/>
    <s v="בש/407/2014"/>
    <x v="1"/>
    <n v="1"/>
    <m/>
    <n v="133615"/>
  </r>
  <r>
    <x v="754"/>
    <n v="554324"/>
    <x v="1"/>
    <s v="  "/>
    <n v="1040"/>
    <s v="באר שבע, כלניות"/>
    <x v="2"/>
    <d v="2016-06-27T00:00:00"/>
    <x v="1"/>
    <n v="6"/>
    <s v="בש/256/2015"/>
    <x v="1"/>
    <n v="1"/>
    <m/>
    <n v="134652"/>
  </r>
  <r>
    <x v="755"/>
    <n v="474500"/>
    <x v="1"/>
    <s v="  "/>
    <n v="241"/>
    <s v="באר שבע, כלניות"/>
    <x v="2"/>
    <d v="2015-08-30T00:00:00"/>
    <x v="3"/>
    <n v="8"/>
    <s v="בש/407/2014"/>
    <x v="1"/>
    <n v="1"/>
    <m/>
    <n v="134777"/>
  </r>
  <r>
    <x v="756"/>
    <n v="523881"/>
    <x v="1"/>
    <s v="  "/>
    <n v="660"/>
    <s v="באר שבע, כלניות"/>
    <x v="2"/>
    <d v="2015-08-30T00:00:00"/>
    <x v="3"/>
    <n v="8"/>
    <s v="בש/407/2014"/>
    <x v="1"/>
    <n v="1"/>
    <m/>
    <n v="135000"/>
  </r>
  <r>
    <x v="756"/>
    <n v="542935"/>
    <x v="1"/>
    <s v="  "/>
    <n v="1041"/>
    <s v="באר שבע, כלניות"/>
    <x v="2"/>
    <d v="2016-06-27T00:00:00"/>
    <x v="1"/>
    <n v="6"/>
    <s v="בש/256/2015"/>
    <x v="1"/>
    <n v="1"/>
    <m/>
    <n v="135000"/>
  </r>
  <r>
    <x v="756"/>
    <n v="550338"/>
    <x v="1"/>
    <s v="  "/>
    <n v="1028"/>
    <s v="באר שבע, כלניות"/>
    <x v="2"/>
    <d v="2016-06-27T00:00:00"/>
    <x v="1"/>
    <n v="6"/>
    <s v="בש/256/2015"/>
    <x v="1"/>
    <n v="1"/>
    <m/>
    <n v="135000"/>
  </r>
  <r>
    <x v="756"/>
    <n v="561160"/>
    <x v="1"/>
    <s v="  "/>
    <n v="165"/>
    <s v="באר שבע, כלניות"/>
    <x v="2"/>
    <d v="2016-06-27T00:00:00"/>
    <x v="1"/>
    <n v="6"/>
    <s v="בש/256/2015"/>
    <x v="1"/>
    <n v="1"/>
    <m/>
    <n v="135000"/>
  </r>
  <r>
    <x v="756"/>
    <n v="622099"/>
    <x v="1"/>
    <s v="  "/>
    <n v="1229"/>
    <s v="באר שבע, כלניות"/>
    <x v="2"/>
    <d v="2016-06-27T00:00:00"/>
    <x v="1"/>
    <n v="6"/>
    <s v="בש/256/2015"/>
    <x v="1"/>
    <n v="1"/>
    <m/>
    <n v="135000"/>
  </r>
  <r>
    <x v="757"/>
    <n v="545782"/>
    <x v="1"/>
    <s v="  "/>
    <n v="1322"/>
    <s v="באר שבע, כלניות"/>
    <x v="2"/>
    <d v="2016-06-27T00:00:00"/>
    <x v="1"/>
    <n v="6"/>
    <s v="בש/256/2015"/>
    <x v="1"/>
    <n v="1"/>
    <m/>
    <n v="135260"/>
  </r>
  <r>
    <x v="758"/>
    <n v="569702"/>
    <x v="1"/>
    <s v="  "/>
    <n v="310"/>
    <s v="באר שבע, כלניות"/>
    <x v="2"/>
    <d v="2016-06-27T00:00:00"/>
    <x v="1"/>
    <n v="6"/>
    <s v="בש/256/2015"/>
    <x v="1"/>
    <n v="1"/>
    <m/>
    <n v="135555"/>
  </r>
  <r>
    <x v="759"/>
    <n v="591544"/>
    <x v="1"/>
    <s v="  "/>
    <n v="652"/>
    <s v="באר שבע, כלניות"/>
    <x v="2"/>
    <d v="2016-06-27T00:00:00"/>
    <x v="1"/>
    <n v="6"/>
    <s v="בש/256/2015"/>
    <x v="1"/>
    <n v="1"/>
    <m/>
    <n v="136895"/>
  </r>
  <r>
    <x v="760"/>
    <n v="487385"/>
    <x v="1"/>
    <s v="  "/>
    <n v="289"/>
    <s v="באר שבע, כלניות"/>
    <x v="2"/>
    <d v="2015-08-30T00:00:00"/>
    <x v="3"/>
    <n v="8"/>
    <s v="בש/407/2014"/>
    <x v="1"/>
    <n v="1"/>
    <m/>
    <n v="137000"/>
  </r>
  <r>
    <x v="761"/>
    <n v="479456"/>
    <x v="1"/>
    <s v="  "/>
    <n v="268"/>
    <s v="באר שבע, כלניות"/>
    <x v="2"/>
    <d v="2015-08-30T00:00:00"/>
    <x v="3"/>
    <n v="8"/>
    <s v="בש/407/2014"/>
    <x v="1"/>
    <n v="1"/>
    <m/>
    <n v="137077"/>
  </r>
  <r>
    <x v="762"/>
    <n v="586788"/>
    <x v="1"/>
    <s v="  "/>
    <n v="86"/>
    <s v="באר שבע, כלניות"/>
    <x v="2"/>
    <d v="2016-06-27T00:00:00"/>
    <x v="1"/>
    <n v="6"/>
    <s v="בש/256/2015"/>
    <x v="1"/>
    <n v="1"/>
    <m/>
    <n v="137777"/>
  </r>
  <r>
    <x v="763"/>
    <n v="542935"/>
    <x v="1"/>
    <s v="  "/>
    <n v="1415"/>
    <s v="באר שבע, כלניות"/>
    <x v="2"/>
    <d v="2016-06-27T00:00:00"/>
    <x v="1"/>
    <n v="6"/>
    <s v="בש/256/2015"/>
    <x v="1"/>
    <n v="1"/>
    <m/>
    <n v="137987"/>
  </r>
  <r>
    <x v="764"/>
    <n v="490854"/>
    <x v="1"/>
    <s v="  "/>
    <n v="452"/>
    <s v="באר שבע, כלניות"/>
    <x v="2"/>
    <d v="2015-08-30T00:00:00"/>
    <x v="3"/>
    <n v="8"/>
    <s v="בש/407/2014"/>
    <x v="1"/>
    <n v="1"/>
    <m/>
    <n v="138532"/>
  </r>
  <r>
    <x v="765"/>
    <n v="479951"/>
    <x v="1"/>
    <s v="  "/>
    <n v="157"/>
    <s v="באר שבע, כלניות"/>
    <x v="2"/>
    <d v="2015-08-30T00:00:00"/>
    <x v="3"/>
    <n v="8"/>
    <s v="בש/407/2014"/>
    <x v="1"/>
    <n v="1"/>
    <m/>
    <n v="140000"/>
  </r>
  <r>
    <x v="765"/>
    <n v="485899"/>
    <x v="1"/>
    <s v="  "/>
    <n v="469"/>
    <s v="באר שבע, כלניות"/>
    <x v="2"/>
    <d v="2015-08-30T00:00:00"/>
    <x v="3"/>
    <n v="8"/>
    <s v="בש/407/2014"/>
    <x v="1"/>
    <n v="1"/>
    <m/>
    <n v="140000"/>
  </r>
  <r>
    <x v="765"/>
    <n v="487385"/>
    <x v="1"/>
    <s v="  "/>
    <n v="316"/>
    <s v="באר שבע, כלניות"/>
    <x v="2"/>
    <d v="2015-08-30T00:00:00"/>
    <x v="3"/>
    <n v="8"/>
    <s v="בש/407/2014"/>
    <x v="1"/>
    <n v="1"/>
    <m/>
    <n v="140000"/>
  </r>
  <r>
    <x v="765"/>
    <n v="546351"/>
    <x v="1"/>
    <s v="  "/>
    <n v="1230"/>
    <s v="באר שבע, כלניות"/>
    <x v="2"/>
    <d v="2016-06-27T00:00:00"/>
    <x v="1"/>
    <n v="6"/>
    <s v="בש/256/2015"/>
    <x v="1"/>
    <n v="1"/>
    <m/>
    <n v="140000"/>
  </r>
  <r>
    <x v="766"/>
    <n v="484413"/>
    <x v="1"/>
    <s v="  "/>
    <n v="471"/>
    <s v="באר שבע, כלניות"/>
    <x v="2"/>
    <d v="2015-08-30T00:00:00"/>
    <x v="3"/>
    <n v="8"/>
    <s v="בש/407/2014"/>
    <x v="1"/>
    <n v="1"/>
    <m/>
    <n v="140370"/>
  </r>
  <r>
    <x v="767"/>
    <n v="558881"/>
    <x v="1"/>
    <s v="  "/>
    <n v="247"/>
    <s v="באר שבע, כלניות"/>
    <x v="2"/>
    <d v="2016-06-27T00:00:00"/>
    <x v="1"/>
    <n v="6"/>
    <s v="בש/256/2015"/>
    <x v="1"/>
    <n v="1"/>
    <m/>
    <n v="140458"/>
  </r>
  <r>
    <x v="768"/>
    <n v="560021"/>
    <x v="1"/>
    <s v="  "/>
    <n v="473"/>
    <s v="באר שבע, כלניות"/>
    <x v="2"/>
    <d v="2016-06-27T00:00:00"/>
    <x v="1"/>
    <n v="6"/>
    <s v="בש/256/2015"/>
    <x v="1"/>
    <n v="1"/>
    <m/>
    <n v="140614"/>
  </r>
  <r>
    <x v="769"/>
    <n v="532683"/>
    <x v="1"/>
    <s v="  "/>
    <n v="1516"/>
    <s v="באר שבע, כלניות"/>
    <x v="2"/>
    <d v="2016-06-27T00:00:00"/>
    <x v="1"/>
    <n v="6"/>
    <s v="בש/256/2015"/>
    <x v="1"/>
    <n v="1"/>
    <m/>
    <n v="140910"/>
  </r>
  <r>
    <x v="770"/>
    <n v="586219"/>
    <x v="1"/>
    <s v="  "/>
    <n v="1345"/>
    <s v="באר שבע, כלניות"/>
    <x v="2"/>
    <d v="2016-06-27T00:00:00"/>
    <x v="1"/>
    <n v="6"/>
    <s v="בש/256/2015"/>
    <x v="1"/>
    <n v="1"/>
    <m/>
    <n v="141313"/>
  </r>
  <r>
    <x v="771"/>
    <n v="536101"/>
    <x v="1"/>
    <s v="  "/>
    <n v="1086"/>
    <s v="באר שבע, כלניות"/>
    <x v="2"/>
    <d v="2016-06-27T00:00:00"/>
    <x v="1"/>
    <n v="6"/>
    <s v="בש/256/2015"/>
    <x v="1"/>
    <n v="1"/>
    <m/>
    <n v="141500"/>
  </r>
  <r>
    <x v="772"/>
    <n v="493333"/>
    <x v="1"/>
    <s v="  "/>
    <n v="31"/>
    <s v="באר שבע, כלניות"/>
    <x v="2"/>
    <d v="2015-08-30T00:00:00"/>
    <x v="3"/>
    <n v="8"/>
    <s v="בש/407/2014"/>
    <x v="1"/>
    <n v="1"/>
    <m/>
    <n v="141564"/>
  </r>
  <r>
    <x v="773"/>
    <n v="484908"/>
    <x v="1"/>
    <s v="  "/>
    <n v="436"/>
    <s v="באר שבע, כלניות"/>
    <x v="2"/>
    <d v="2015-08-30T00:00:00"/>
    <x v="3"/>
    <n v="8"/>
    <s v="בש/407/2014"/>
    <x v="1"/>
    <n v="1"/>
    <m/>
    <n v="141663"/>
  </r>
  <r>
    <x v="774"/>
    <n v="532683"/>
    <x v="1"/>
    <s v="  "/>
    <n v="1518"/>
    <s v="באר שבע, כלניות"/>
    <x v="2"/>
    <d v="2016-06-27T00:00:00"/>
    <x v="1"/>
    <n v="6"/>
    <s v="בש/256/2015"/>
    <x v="1"/>
    <n v="1"/>
    <m/>
    <n v="141890"/>
  </r>
  <r>
    <x v="775"/>
    <n v="492342"/>
    <x v="1"/>
    <s v="  "/>
    <n v="296"/>
    <s v="באר שבע, כלניות"/>
    <x v="2"/>
    <d v="2015-08-30T00:00:00"/>
    <x v="3"/>
    <n v="8"/>
    <s v="בש/407/2014"/>
    <x v="1"/>
    <n v="1"/>
    <m/>
    <n v="142000"/>
  </r>
  <r>
    <x v="776"/>
    <n v="532683"/>
    <x v="1"/>
    <s v="  "/>
    <n v="1514"/>
    <s v="באר שבע, כלניות"/>
    <x v="2"/>
    <d v="2016-06-27T00:00:00"/>
    <x v="1"/>
    <n v="6"/>
    <s v="בש/256/2015"/>
    <x v="1"/>
    <n v="1"/>
    <m/>
    <n v="143215"/>
  </r>
  <r>
    <x v="777"/>
    <n v="491845"/>
    <x v="1"/>
    <s v="  "/>
    <n v="495"/>
    <s v="באר שבע, כלניות"/>
    <x v="2"/>
    <d v="2015-08-30T00:00:00"/>
    <x v="3"/>
    <n v="8"/>
    <s v="בש/407/2014"/>
    <x v="1"/>
    <n v="1"/>
    <m/>
    <n v="143600"/>
  </r>
  <r>
    <x v="778"/>
    <n v="532683"/>
    <x v="1"/>
    <s v="  "/>
    <n v="1517"/>
    <s v="באר שבע, כלניות"/>
    <x v="2"/>
    <d v="2016-06-27T00:00:00"/>
    <x v="1"/>
    <n v="6"/>
    <s v="בש/256/2015"/>
    <x v="1"/>
    <n v="1"/>
    <m/>
    <n v="143800"/>
  </r>
  <r>
    <x v="779"/>
    <n v="532683"/>
    <x v="1"/>
    <s v="  "/>
    <n v="1513"/>
    <s v="באר שבע, כלניות"/>
    <x v="2"/>
    <d v="2016-06-27T00:00:00"/>
    <x v="1"/>
    <n v="6"/>
    <s v="בש/256/2015"/>
    <x v="1"/>
    <n v="1"/>
    <m/>
    <n v="143915"/>
  </r>
  <r>
    <x v="780"/>
    <n v="510182"/>
    <x v="1"/>
    <s v="  "/>
    <n v="275"/>
    <s v="באר שבע, כלניות"/>
    <x v="2"/>
    <d v="2015-08-30T00:00:00"/>
    <x v="3"/>
    <n v="8"/>
    <s v="בש/407/2014"/>
    <x v="1"/>
    <n v="1"/>
    <m/>
    <n v="143999"/>
  </r>
  <r>
    <x v="781"/>
    <n v="479456"/>
    <x v="1"/>
    <s v="  "/>
    <n v="266"/>
    <s v="באר שבע, כלניות"/>
    <x v="2"/>
    <d v="2015-08-30T00:00:00"/>
    <x v="3"/>
    <n v="8"/>
    <s v="בש/407/2014"/>
    <x v="1"/>
    <n v="1"/>
    <m/>
    <n v="144000"/>
  </r>
  <r>
    <x v="781"/>
    <n v="479456"/>
    <x v="1"/>
    <s v="  "/>
    <n v="267"/>
    <s v="באר שבע, כלניות"/>
    <x v="2"/>
    <d v="2015-08-30T00:00:00"/>
    <x v="3"/>
    <n v="8"/>
    <s v="בש/407/2014"/>
    <x v="1"/>
    <n v="1"/>
    <m/>
    <n v="144000"/>
  </r>
  <r>
    <x v="781"/>
    <n v="530998"/>
    <x v="1"/>
    <s v="  "/>
    <n v="164"/>
    <s v="באר שבע, כלניות"/>
    <x v="2"/>
    <d v="2015-08-30T00:00:00"/>
    <x v="3"/>
    <n v="8"/>
    <s v="בש/407/2014"/>
    <x v="1"/>
    <n v="1"/>
    <m/>
    <n v="144000"/>
  </r>
  <r>
    <x v="781"/>
    <n v="532683"/>
    <x v="1"/>
    <s v="  "/>
    <n v="1515"/>
    <s v="באר שבע, כלניות"/>
    <x v="2"/>
    <d v="2016-06-27T00:00:00"/>
    <x v="1"/>
    <n v="6"/>
    <s v="בש/256/2015"/>
    <x v="1"/>
    <n v="1"/>
    <m/>
    <n v="144000"/>
  </r>
  <r>
    <x v="782"/>
    <n v="487385"/>
    <x v="1"/>
    <s v="  "/>
    <n v="34"/>
    <s v="באר שבע, כלניות"/>
    <x v="2"/>
    <d v="2015-08-30T00:00:00"/>
    <x v="3"/>
    <n v="8"/>
    <s v="בש/407/2014"/>
    <x v="1"/>
    <n v="1"/>
    <m/>
    <n v="144111"/>
  </r>
  <r>
    <x v="783"/>
    <n v="484908"/>
    <x v="1"/>
    <s v="  "/>
    <n v="40"/>
    <s v="באר שבע, כלניות"/>
    <x v="2"/>
    <d v="2015-08-30T00:00:00"/>
    <x v="3"/>
    <n v="8"/>
    <s v="בש/407/2014"/>
    <x v="1"/>
    <n v="1"/>
    <m/>
    <n v="144304"/>
  </r>
  <r>
    <x v="784"/>
    <n v="479456"/>
    <x v="1"/>
    <s v="  "/>
    <n v="183"/>
    <s v="באר שבע, כלניות"/>
    <x v="2"/>
    <d v="2015-08-30T00:00:00"/>
    <x v="3"/>
    <n v="8"/>
    <s v="בש/407/2014"/>
    <x v="1"/>
    <n v="1"/>
    <m/>
    <n v="145018"/>
  </r>
  <r>
    <x v="785"/>
    <n v="490359"/>
    <x v="1"/>
    <s v="  "/>
    <n v="308"/>
    <s v="באר שבע, כלניות"/>
    <x v="2"/>
    <d v="2015-08-30T00:00:00"/>
    <x v="3"/>
    <n v="8"/>
    <s v="בש/407/2014"/>
    <x v="1"/>
    <n v="1"/>
    <m/>
    <n v="145777"/>
  </r>
  <r>
    <x v="786"/>
    <n v="480447"/>
    <x v="1"/>
    <s v="  "/>
    <n v="151"/>
    <s v="באר שבע, כלניות"/>
    <x v="2"/>
    <d v="2015-08-30T00:00:00"/>
    <x v="3"/>
    <n v="8"/>
    <s v="בש/407/2014"/>
    <x v="1"/>
    <n v="1"/>
    <m/>
    <n v="146000"/>
  </r>
  <r>
    <x v="786"/>
    <n v="579385"/>
    <x v="1"/>
    <s v="  "/>
    <n v="1498"/>
    <s v="באר שבע, כלניות"/>
    <x v="2"/>
    <d v="2016-06-27T00:00:00"/>
    <x v="1"/>
    <n v="6"/>
    <s v="בש/256/2015"/>
    <x v="1"/>
    <n v="1"/>
    <m/>
    <n v="146000"/>
  </r>
  <r>
    <x v="787"/>
    <n v="479456"/>
    <x v="1"/>
    <s v="  "/>
    <n v="256"/>
    <s v="באר שבע, כלניות"/>
    <x v="2"/>
    <d v="2015-08-30T00:00:00"/>
    <x v="3"/>
    <n v="8"/>
    <s v="בש/407/2014"/>
    <x v="1"/>
    <n v="1"/>
    <m/>
    <n v="146733"/>
  </r>
  <r>
    <x v="788"/>
    <n v="493828"/>
    <x v="1"/>
    <s v="  "/>
    <n v="503"/>
    <s v="באר שבע, כלניות"/>
    <x v="2"/>
    <d v="2015-08-30T00:00:00"/>
    <x v="3"/>
    <n v="8"/>
    <s v="בש/407/2014"/>
    <x v="1"/>
    <n v="1"/>
    <m/>
    <n v="146800"/>
  </r>
  <r>
    <x v="789"/>
    <n v="532683"/>
    <x v="1"/>
    <s v="  "/>
    <n v="1519"/>
    <s v="באר שבע, כלניות"/>
    <x v="2"/>
    <d v="2016-06-27T00:00:00"/>
    <x v="1"/>
    <n v="6"/>
    <s v="בש/256/2015"/>
    <x v="1"/>
    <n v="1"/>
    <m/>
    <n v="147120"/>
  </r>
  <r>
    <x v="790"/>
    <n v="587358"/>
    <x v="1"/>
    <s v="  "/>
    <n v="1563"/>
    <s v="באר שבע, כלניות"/>
    <x v="2"/>
    <d v="2016-06-27T00:00:00"/>
    <x v="1"/>
    <n v="6"/>
    <s v="בש/256/2015"/>
    <x v="1"/>
    <n v="1"/>
    <m/>
    <n v="147557"/>
  </r>
  <r>
    <x v="791"/>
    <n v="518445"/>
    <x v="1"/>
    <s v="  "/>
    <n v="1409"/>
    <s v="באר שבע, כלניות"/>
    <x v="2"/>
    <d v="2016-06-27T00:00:00"/>
    <x v="1"/>
    <n v="6"/>
    <s v="בש/256/2015"/>
    <x v="1"/>
    <n v="1"/>
    <m/>
    <n v="148225"/>
  </r>
  <r>
    <x v="792"/>
    <n v="644879"/>
    <x v="1"/>
    <s v="  "/>
    <n v="1227"/>
    <s v="באר שבע, כלניות"/>
    <x v="2"/>
    <d v="2016-06-27T00:00:00"/>
    <x v="1"/>
    <n v="6"/>
    <s v="בש/256/2015"/>
    <x v="1"/>
    <n v="1"/>
    <m/>
    <n v="149517"/>
  </r>
  <r>
    <x v="793"/>
    <n v="493828"/>
    <x v="1"/>
    <s v="  "/>
    <n v="501"/>
    <s v="באר שבע, כלניות"/>
    <x v="2"/>
    <d v="2015-08-30T00:00:00"/>
    <x v="3"/>
    <n v="8"/>
    <s v="בש/407/2014"/>
    <x v="1"/>
    <n v="1"/>
    <m/>
    <n v="149650"/>
  </r>
  <r>
    <x v="794"/>
    <n v="490359"/>
    <x v="1"/>
    <s v="  "/>
    <n v="468"/>
    <s v="באר שבע, כלניות"/>
    <x v="2"/>
    <d v="2015-08-30T00:00:00"/>
    <x v="3"/>
    <n v="8"/>
    <s v="בש/407/2014"/>
    <x v="1"/>
    <n v="1"/>
    <m/>
    <n v="150000"/>
  </r>
  <r>
    <x v="794"/>
    <n v="492342"/>
    <x v="1"/>
    <s v="  "/>
    <n v="524"/>
    <s v="באר שבע, כלניות"/>
    <x v="2"/>
    <d v="2015-08-30T00:00:00"/>
    <x v="3"/>
    <n v="8"/>
    <s v="בש/407/2014"/>
    <x v="1"/>
    <n v="1"/>
    <m/>
    <n v="150000"/>
  </r>
  <r>
    <x v="794"/>
    <n v="544643"/>
    <x v="1"/>
    <s v="  "/>
    <n v="1045"/>
    <s v="באר שבע, כלניות"/>
    <x v="2"/>
    <d v="2016-06-27T00:00:00"/>
    <x v="1"/>
    <n v="6"/>
    <s v="בש/256/2015"/>
    <x v="1"/>
    <n v="1"/>
    <m/>
    <n v="150000"/>
  </r>
  <r>
    <x v="794"/>
    <n v="578246"/>
    <x v="1"/>
    <s v="  "/>
    <n v="1491"/>
    <s v="באר שבע, כלניות"/>
    <x v="2"/>
    <d v="2016-06-27T00:00:00"/>
    <x v="1"/>
    <n v="6"/>
    <s v="בש/256/2015"/>
    <x v="1"/>
    <n v="1"/>
    <m/>
    <n v="150000"/>
  </r>
  <r>
    <x v="794"/>
    <n v="595900"/>
    <x v="1"/>
    <s v="  "/>
    <n v="1564"/>
    <s v="באר שבע, כלניות"/>
    <x v="2"/>
    <d v="2016-06-27T00:00:00"/>
    <x v="1"/>
    <n v="6"/>
    <s v="בש/256/2015"/>
    <x v="1"/>
    <n v="1"/>
    <m/>
    <n v="150000"/>
  </r>
  <r>
    <x v="795"/>
    <n v="434887"/>
    <x v="1"/>
    <s v="  "/>
    <n v="147"/>
    <s v="באר שבע, נווה נוי"/>
    <x v="2"/>
    <d v="2014-01-13T00:00:00"/>
    <x v="2"/>
    <n v="1"/>
    <s v="בש/235/2013"/>
    <x v="2"/>
    <n v="1"/>
    <m/>
    <n v="150010"/>
  </r>
  <r>
    <x v="796"/>
    <n v="429610"/>
    <x v="1"/>
    <s v="  "/>
    <n v="150"/>
    <s v="באר שבע, נווה נוי"/>
    <x v="2"/>
    <d v="2014-01-13T00:00:00"/>
    <x v="2"/>
    <n v="1"/>
    <s v="בש/235/2013"/>
    <x v="2"/>
    <n v="1"/>
    <m/>
    <n v="150110"/>
  </r>
  <r>
    <x v="797"/>
    <n v="572549"/>
    <x v="1"/>
    <s v="  "/>
    <n v="1500"/>
    <s v="באר שבע, כלניות"/>
    <x v="2"/>
    <d v="2016-06-27T00:00:00"/>
    <x v="1"/>
    <n v="6"/>
    <s v="בש/256/2015"/>
    <x v="1"/>
    <n v="1"/>
    <m/>
    <n v="150260"/>
  </r>
  <r>
    <x v="798"/>
    <n v="492342"/>
    <x v="1"/>
    <s v="  "/>
    <n v="431"/>
    <s v="באר שבע, כלניות"/>
    <x v="2"/>
    <d v="2015-08-30T00:00:00"/>
    <x v="3"/>
    <n v="8"/>
    <s v="בש/407/2014"/>
    <x v="1"/>
    <n v="1"/>
    <m/>
    <n v="150557"/>
  </r>
  <r>
    <x v="799"/>
    <n v="493333"/>
    <x v="1"/>
    <s v="  "/>
    <n v="410"/>
    <s v="באר שבע, כלניות"/>
    <x v="2"/>
    <d v="2015-08-30T00:00:00"/>
    <x v="3"/>
    <n v="8"/>
    <s v="בש/407/2014"/>
    <x v="1"/>
    <n v="1"/>
    <m/>
    <n v="150778"/>
  </r>
  <r>
    <x v="800"/>
    <n v="491350"/>
    <x v="1"/>
    <s v="  "/>
    <n v="418"/>
    <s v="באר שבע, כלניות"/>
    <x v="2"/>
    <d v="2015-08-30T00:00:00"/>
    <x v="3"/>
    <n v="8"/>
    <s v="בש/407/2014"/>
    <x v="1"/>
    <n v="1"/>
    <m/>
    <n v="151000"/>
  </r>
  <r>
    <x v="800"/>
    <n v="492342"/>
    <x v="1"/>
    <s v="  "/>
    <n v="313"/>
    <s v="באר שבע, כלניות"/>
    <x v="2"/>
    <d v="2015-08-30T00:00:00"/>
    <x v="3"/>
    <n v="8"/>
    <s v="בש/407/2014"/>
    <x v="1"/>
    <n v="1"/>
    <m/>
    <n v="151000"/>
  </r>
  <r>
    <x v="800"/>
    <n v="493333"/>
    <x v="1"/>
    <s v="  "/>
    <n v="314"/>
    <s v="באר שבע, כלניות"/>
    <x v="2"/>
    <d v="2015-08-30T00:00:00"/>
    <x v="3"/>
    <n v="8"/>
    <s v="בש/407/2014"/>
    <x v="1"/>
    <n v="1"/>
    <m/>
    <n v="151000"/>
  </r>
  <r>
    <x v="800"/>
    <n v="578246"/>
    <x v="1"/>
    <s v="  "/>
    <n v="1494"/>
    <s v="באר שבע, כלניות"/>
    <x v="2"/>
    <d v="2016-06-27T00:00:00"/>
    <x v="1"/>
    <n v="6"/>
    <s v="בש/256/2015"/>
    <x v="1"/>
    <n v="1"/>
    <m/>
    <n v="151000"/>
  </r>
  <r>
    <x v="801"/>
    <n v="488377"/>
    <x v="1"/>
    <s v="  "/>
    <n v="439"/>
    <s v="באר שבע, כלניות"/>
    <x v="2"/>
    <d v="2015-08-30T00:00:00"/>
    <x v="3"/>
    <n v="8"/>
    <s v="בש/407/2014"/>
    <x v="1"/>
    <n v="1"/>
    <m/>
    <n v="151129"/>
  </r>
  <r>
    <x v="802"/>
    <n v="492837"/>
    <x v="1"/>
    <s v="  "/>
    <n v="447"/>
    <s v="באר שבע, כלניות"/>
    <x v="2"/>
    <d v="2015-08-30T00:00:00"/>
    <x v="3"/>
    <n v="8"/>
    <s v="בש/407/2014"/>
    <x v="1"/>
    <n v="1"/>
    <m/>
    <n v="151371"/>
  </r>
  <r>
    <x v="803"/>
    <n v="541796"/>
    <x v="1"/>
    <s v="  "/>
    <n v="1079"/>
    <s v="באר שבע, כלניות"/>
    <x v="2"/>
    <d v="2016-06-27T00:00:00"/>
    <x v="1"/>
    <n v="6"/>
    <s v="בש/256/2015"/>
    <x v="1"/>
    <n v="1"/>
    <m/>
    <n v="151600"/>
  </r>
  <r>
    <x v="804"/>
    <n v="487385"/>
    <x v="1"/>
    <s v="  "/>
    <n v="194"/>
    <s v="באר שבע, כלניות"/>
    <x v="2"/>
    <d v="2015-08-30T00:00:00"/>
    <x v="3"/>
    <n v="8"/>
    <s v="בש/407/2014"/>
    <x v="1"/>
    <n v="1"/>
    <m/>
    <n v="151730"/>
  </r>
  <r>
    <x v="805"/>
    <n v="479456"/>
    <x v="1"/>
    <s v="  "/>
    <n v="184"/>
    <s v="באר שבע, כלניות"/>
    <x v="2"/>
    <d v="2015-08-30T00:00:00"/>
    <x v="3"/>
    <n v="8"/>
    <s v="בש/407/2014"/>
    <x v="1"/>
    <n v="1"/>
    <m/>
    <n v="152000"/>
  </r>
  <r>
    <x v="805"/>
    <n v="490854"/>
    <x v="1"/>
    <s v="  "/>
    <n v="525"/>
    <s v="באר שבע, כלניות"/>
    <x v="2"/>
    <d v="2015-08-30T00:00:00"/>
    <x v="3"/>
    <n v="8"/>
    <s v="בש/407/2014"/>
    <x v="1"/>
    <n v="1"/>
    <m/>
    <n v="152000"/>
  </r>
  <r>
    <x v="805"/>
    <n v="493333"/>
    <x v="1"/>
    <s v="  "/>
    <n v="523"/>
    <s v="באר שבע, כלניות"/>
    <x v="2"/>
    <d v="2015-08-30T00:00:00"/>
    <x v="3"/>
    <n v="8"/>
    <s v="בש/407/2014"/>
    <x v="1"/>
    <n v="1"/>
    <m/>
    <n v="152000"/>
  </r>
  <r>
    <x v="806"/>
    <n v="491845"/>
    <x v="1"/>
    <s v="  "/>
    <n v="414"/>
    <s v="באר שבע, כלניות"/>
    <x v="2"/>
    <d v="2015-08-30T00:00:00"/>
    <x v="3"/>
    <n v="8"/>
    <s v="בש/407/2014"/>
    <x v="1"/>
    <n v="1"/>
    <m/>
    <n v="152300"/>
  </r>
  <r>
    <x v="807"/>
    <n v="518608"/>
    <x v="1"/>
    <s v="  "/>
    <n v="137"/>
    <s v="באר שבע, כלניות"/>
    <x v="2"/>
    <d v="2015-08-30T00:00:00"/>
    <x v="3"/>
    <n v="8"/>
    <s v="בש/407/2014"/>
    <x v="1"/>
    <n v="1"/>
    <m/>
    <n v="152377"/>
  </r>
  <r>
    <x v="808"/>
    <n v="546921"/>
    <x v="1"/>
    <s v="  "/>
    <n v="1186"/>
    <s v="באר שבע, כלניות"/>
    <x v="2"/>
    <d v="2016-06-27T00:00:00"/>
    <x v="1"/>
    <n v="6"/>
    <s v="בש/256/2015"/>
    <x v="1"/>
    <n v="1"/>
    <m/>
    <n v="152479"/>
  </r>
  <r>
    <x v="809"/>
    <n v="481934"/>
    <x v="1"/>
    <s v="  "/>
    <n v="159"/>
    <s v="באר שבע, כלניות"/>
    <x v="2"/>
    <d v="2015-08-30T00:00:00"/>
    <x v="3"/>
    <n v="8"/>
    <s v="בש/407/2014"/>
    <x v="1"/>
    <n v="1"/>
    <m/>
    <n v="152500"/>
  </r>
  <r>
    <x v="809"/>
    <n v="487385"/>
    <x v="1"/>
    <s v="  "/>
    <n v="191"/>
    <s v="באר שבע, כלניות"/>
    <x v="2"/>
    <d v="2015-08-30T00:00:00"/>
    <x v="3"/>
    <n v="8"/>
    <s v="בש/407/2014"/>
    <x v="1"/>
    <n v="1"/>
    <m/>
    <n v="152500"/>
  </r>
  <r>
    <x v="810"/>
    <n v="493333"/>
    <x v="1"/>
    <s v="  "/>
    <n v="97"/>
    <s v="באר שבע, כלניות"/>
    <x v="2"/>
    <d v="2015-08-30T00:00:00"/>
    <x v="3"/>
    <n v="8"/>
    <s v="בש/407/2014"/>
    <x v="1"/>
    <n v="1"/>
    <m/>
    <n v="153010"/>
  </r>
  <r>
    <x v="811"/>
    <n v="550908"/>
    <x v="1"/>
    <s v="  "/>
    <n v="1093"/>
    <s v="באר שבע, כלניות"/>
    <x v="2"/>
    <d v="2016-06-27T00:00:00"/>
    <x v="1"/>
    <n v="6"/>
    <s v="בש/256/2015"/>
    <x v="1"/>
    <n v="1"/>
    <m/>
    <n v="154093"/>
  </r>
  <r>
    <x v="812"/>
    <n v="493828"/>
    <x v="1"/>
    <s v="  "/>
    <n v="298"/>
    <s v="באר שבע, כלניות"/>
    <x v="2"/>
    <d v="2015-08-30T00:00:00"/>
    <x v="3"/>
    <n v="8"/>
    <s v="בש/407/2014"/>
    <x v="1"/>
    <n v="1"/>
    <m/>
    <n v="154511"/>
  </r>
  <r>
    <x v="813"/>
    <n v="492837"/>
    <x v="1"/>
    <s v="  "/>
    <n v="155"/>
    <s v="באר שבע, כלניות"/>
    <x v="2"/>
    <d v="2015-08-30T00:00:00"/>
    <x v="3"/>
    <n v="8"/>
    <s v="בש/407/2014"/>
    <x v="1"/>
    <n v="1"/>
    <m/>
    <n v="155500"/>
  </r>
  <r>
    <x v="814"/>
    <n v="492837"/>
    <x v="1"/>
    <s v="  "/>
    <n v="282"/>
    <s v="באר שבע, כלניות"/>
    <x v="2"/>
    <d v="2015-08-30T00:00:00"/>
    <x v="3"/>
    <n v="8"/>
    <s v="בש/407/2014"/>
    <x v="1"/>
    <n v="1"/>
    <m/>
    <n v="156000"/>
  </r>
  <r>
    <x v="814"/>
    <n v="576536"/>
    <x v="1"/>
    <s v="  "/>
    <n v="1332"/>
    <s v="באר שבע, כלניות"/>
    <x v="2"/>
    <d v="2016-06-27T00:00:00"/>
    <x v="1"/>
    <n v="6"/>
    <s v="בש/256/2015"/>
    <x v="1"/>
    <n v="1"/>
    <m/>
    <n v="156000"/>
  </r>
  <r>
    <x v="815"/>
    <n v="530323"/>
    <x v="1"/>
    <s v="  "/>
    <n v="650"/>
    <s v="באר שבע, כלניות"/>
    <x v="2"/>
    <d v="2015-08-30T00:00:00"/>
    <x v="3"/>
    <n v="8"/>
    <s v="בש/407/2014"/>
    <x v="1"/>
    <n v="1"/>
    <m/>
    <n v="156051"/>
  </r>
  <r>
    <x v="816"/>
    <n v="488873"/>
    <x v="1"/>
    <s v="  "/>
    <n v="440"/>
    <s v="באר שבע, כלניות"/>
    <x v="2"/>
    <d v="2015-08-30T00:00:00"/>
    <x v="3"/>
    <n v="8"/>
    <s v="בש/407/2014"/>
    <x v="1"/>
    <n v="1"/>
    <m/>
    <n v="157000"/>
  </r>
  <r>
    <x v="817"/>
    <n v="696137"/>
    <x v="1"/>
    <s v="  "/>
    <n v="1206"/>
    <s v="באר שבע, כלניות"/>
    <x v="2"/>
    <d v="2016-06-27T00:00:00"/>
    <x v="1"/>
    <n v="6"/>
    <s v="בש/256/2015"/>
    <x v="1"/>
    <n v="1"/>
    <m/>
    <n v="157700"/>
  </r>
  <r>
    <x v="818"/>
    <n v="486394"/>
    <x v="1"/>
    <s v="  "/>
    <n v="395"/>
    <s v="באר שבע, כלניות"/>
    <x v="2"/>
    <d v="2015-08-30T00:00:00"/>
    <x v="3"/>
    <n v="8"/>
    <s v="בש/407/2014"/>
    <x v="1"/>
    <n v="1"/>
    <m/>
    <n v="157953"/>
  </r>
  <r>
    <x v="819"/>
    <n v="491845"/>
    <x v="1"/>
    <s v="  "/>
    <n v="457"/>
    <s v="באר שבע, כלניות"/>
    <x v="2"/>
    <d v="2015-08-30T00:00:00"/>
    <x v="3"/>
    <n v="8"/>
    <s v="בש/407/2014"/>
    <x v="1"/>
    <n v="1"/>
    <m/>
    <n v="158000"/>
  </r>
  <r>
    <x v="820"/>
    <n v="542891"/>
    <x v="1"/>
    <s v="  "/>
    <n v="493"/>
    <s v="באר שבע, כלניות"/>
    <x v="2"/>
    <d v="2015-08-30T00:00:00"/>
    <x v="3"/>
    <n v="8"/>
    <s v="בש/407/2014"/>
    <x v="1"/>
    <n v="1"/>
    <m/>
    <n v="158980"/>
  </r>
  <r>
    <x v="821"/>
    <n v="491845"/>
    <x v="1"/>
    <s v="  "/>
    <n v="11"/>
    <s v="באר שבע, כלניות"/>
    <x v="2"/>
    <d v="2015-08-30T00:00:00"/>
    <x v="3"/>
    <n v="8"/>
    <s v="בש/407/2014"/>
    <x v="1"/>
    <n v="1"/>
    <m/>
    <n v="159794"/>
  </r>
  <r>
    <x v="822"/>
    <n v="474500"/>
    <x v="1"/>
    <s v="  "/>
    <n v="236"/>
    <s v="באר שבע, כלניות"/>
    <x v="2"/>
    <d v="2015-08-30T00:00:00"/>
    <x v="3"/>
    <n v="8"/>
    <s v="בש/407/2014"/>
    <x v="1"/>
    <n v="1"/>
    <m/>
    <n v="160000"/>
  </r>
  <r>
    <x v="822"/>
    <n v="490854"/>
    <x v="1"/>
    <s v="  "/>
    <n v="453"/>
    <s v="באר שבע, כלניות"/>
    <x v="2"/>
    <d v="2015-08-30T00:00:00"/>
    <x v="3"/>
    <n v="8"/>
    <s v="בש/407/2014"/>
    <x v="1"/>
    <n v="1"/>
    <m/>
    <n v="160000"/>
  </r>
  <r>
    <x v="823"/>
    <n v="493828"/>
    <x v="1"/>
    <s v="  "/>
    <n v="135"/>
    <s v="באר שבע, כלניות"/>
    <x v="2"/>
    <d v="2015-08-30T00:00:00"/>
    <x v="3"/>
    <n v="8"/>
    <s v="בש/407/2014"/>
    <x v="1"/>
    <n v="1"/>
    <m/>
    <n v="160650"/>
  </r>
  <r>
    <x v="824"/>
    <n v="542935"/>
    <x v="1"/>
    <s v="  "/>
    <n v="1225"/>
    <s v="באר שבע, כלניות"/>
    <x v="2"/>
    <d v="2016-06-27T00:00:00"/>
    <x v="1"/>
    <n v="6"/>
    <s v="בש/256/2015"/>
    <x v="1"/>
    <n v="1"/>
    <m/>
    <n v="160900"/>
  </r>
  <r>
    <x v="825"/>
    <n v="474500"/>
    <x v="1"/>
    <s v="  "/>
    <n v="517"/>
    <s v="באר שבע, כלניות"/>
    <x v="2"/>
    <d v="2015-08-30T00:00:00"/>
    <x v="3"/>
    <n v="8"/>
    <s v="בש/407/2014"/>
    <x v="1"/>
    <n v="1"/>
    <m/>
    <n v="160999"/>
  </r>
  <r>
    <x v="826"/>
    <n v="478960"/>
    <x v="1"/>
    <s v="  "/>
    <n v="516"/>
    <s v="באר שבע, כלניות"/>
    <x v="2"/>
    <d v="2015-08-30T00:00:00"/>
    <x v="3"/>
    <n v="8"/>
    <s v="בש/407/2014"/>
    <x v="1"/>
    <n v="1"/>
    <m/>
    <n v="161000"/>
  </r>
  <r>
    <x v="827"/>
    <n v="552047"/>
    <x v="1"/>
    <s v="  "/>
    <n v="1285"/>
    <s v="באר שבע, כלניות"/>
    <x v="2"/>
    <d v="2016-06-27T00:00:00"/>
    <x v="1"/>
    <n v="6"/>
    <s v="בש/256/2015"/>
    <x v="1"/>
    <n v="1"/>
    <m/>
    <n v="161345"/>
  </r>
  <r>
    <x v="828"/>
    <n v="475987"/>
    <x v="1"/>
    <s v="  "/>
    <n v="429"/>
    <s v="באר שבע, כלניות"/>
    <x v="2"/>
    <d v="2015-08-30T00:00:00"/>
    <x v="3"/>
    <n v="8"/>
    <s v="בש/407/2014"/>
    <x v="1"/>
    <n v="1"/>
    <m/>
    <n v="161500"/>
  </r>
  <r>
    <x v="829"/>
    <n v="487385"/>
    <x v="1"/>
    <s v="  "/>
    <n v="211"/>
    <s v="באר שבע, כלניות"/>
    <x v="2"/>
    <d v="2015-08-30T00:00:00"/>
    <x v="3"/>
    <n v="8"/>
    <s v="בש/407/2014"/>
    <x v="1"/>
    <n v="1"/>
    <m/>
    <n v="162594"/>
  </r>
  <r>
    <x v="830"/>
    <n v="511986"/>
    <x v="1"/>
    <s v="  "/>
    <n v="649"/>
    <s v="באר שבע, כלניות"/>
    <x v="2"/>
    <d v="2015-08-30T00:00:00"/>
    <x v="3"/>
    <n v="8"/>
    <s v="בש/407/2014"/>
    <x v="1"/>
    <n v="1"/>
    <m/>
    <n v="163111"/>
  </r>
  <r>
    <x v="831"/>
    <n v="502253"/>
    <x v="1"/>
    <s v="  "/>
    <n v="337"/>
    <s v="באר שבע, כלניות"/>
    <x v="2"/>
    <d v="2015-08-30T00:00:00"/>
    <x v="3"/>
    <n v="8"/>
    <s v="בש/407/2014"/>
    <x v="1"/>
    <n v="1"/>
    <m/>
    <n v="163555"/>
  </r>
  <r>
    <x v="832"/>
    <n v="487882"/>
    <x v="1"/>
    <s v="  "/>
    <n v="228"/>
    <s v="באר שבע, כלניות"/>
    <x v="2"/>
    <d v="2015-08-30T00:00:00"/>
    <x v="3"/>
    <n v="8"/>
    <s v="בש/407/2014"/>
    <x v="1"/>
    <n v="1"/>
    <m/>
    <n v="163752"/>
  </r>
  <r>
    <x v="833"/>
    <n v="486394"/>
    <x v="1"/>
    <s v="  "/>
    <n v="488"/>
    <s v="באר שבע, כלניות"/>
    <x v="2"/>
    <d v="2015-08-30T00:00:00"/>
    <x v="3"/>
    <n v="8"/>
    <s v="בש/407/2014"/>
    <x v="1"/>
    <n v="1"/>
    <m/>
    <n v="164100"/>
  </r>
  <r>
    <x v="834"/>
    <n v="485899"/>
    <x v="1"/>
    <s v="  "/>
    <n v="485"/>
    <s v="באר שבע, כלניות"/>
    <x v="2"/>
    <d v="2015-08-30T00:00:00"/>
    <x v="3"/>
    <n v="8"/>
    <s v="בש/407/2014"/>
    <x v="1"/>
    <n v="1"/>
    <m/>
    <n v="165100"/>
  </r>
  <r>
    <x v="835"/>
    <n v="491350"/>
    <x v="1"/>
    <s v="  "/>
    <n v="415"/>
    <s v="באר שבע, כלניות"/>
    <x v="2"/>
    <d v="2015-08-30T00:00:00"/>
    <x v="3"/>
    <n v="8"/>
    <s v="בש/407/2014"/>
    <x v="1"/>
    <n v="1"/>
    <m/>
    <n v="166652"/>
  </r>
  <r>
    <x v="836"/>
    <n v="490854"/>
    <x v="1"/>
    <s v="  "/>
    <n v="235"/>
    <s v="באר שבע, כלניות"/>
    <x v="2"/>
    <d v="2015-08-30T00:00:00"/>
    <x v="3"/>
    <n v="8"/>
    <s v="בש/407/2014"/>
    <x v="1"/>
    <n v="1"/>
    <m/>
    <n v="166750"/>
  </r>
  <r>
    <x v="837"/>
    <n v="508200"/>
    <x v="1"/>
    <s v="  "/>
    <n v="75"/>
    <s v="באר שבע, כלניות"/>
    <x v="2"/>
    <d v="2015-08-30T00:00:00"/>
    <x v="3"/>
    <n v="8"/>
    <s v="בש/407/2014"/>
    <x v="1"/>
    <n v="1"/>
    <m/>
    <n v="167000"/>
  </r>
  <r>
    <x v="837"/>
    <n v="581662"/>
    <x v="1"/>
    <s v="  "/>
    <n v="1249"/>
    <s v="באר שבע, כלניות"/>
    <x v="2"/>
    <d v="2016-06-27T00:00:00"/>
    <x v="1"/>
    <n v="6"/>
    <s v="בש/256/2015"/>
    <x v="1"/>
    <n v="1"/>
    <m/>
    <n v="167000"/>
  </r>
  <r>
    <x v="838"/>
    <n v="562716"/>
    <x v="1"/>
    <s v="  "/>
    <n v="80"/>
    <s v="באר שבע, כלניות"/>
    <x v="2"/>
    <d v="2015-08-30T00:00:00"/>
    <x v="3"/>
    <n v="8"/>
    <s v="בש/407/2014"/>
    <x v="1"/>
    <n v="1"/>
    <m/>
    <n v="167260"/>
  </r>
  <r>
    <x v="839"/>
    <n v="481934"/>
    <x v="1"/>
    <s v="  "/>
    <n v="230"/>
    <s v="באר שבע, כלניות"/>
    <x v="2"/>
    <d v="2015-08-30T00:00:00"/>
    <x v="3"/>
    <n v="8"/>
    <s v="בש/407/2014"/>
    <x v="1"/>
    <n v="1"/>
    <m/>
    <n v="167920"/>
  </r>
  <r>
    <x v="840"/>
    <n v="524059"/>
    <x v="1"/>
    <s v="  "/>
    <n v="312"/>
    <s v="באר שבע, כלניות"/>
    <x v="2"/>
    <d v="2015-08-30T00:00:00"/>
    <x v="3"/>
    <n v="8"/>
    <s v="בש/407/2014"/>
    <x v="1"/>
    <n v="1"/>
    <m/>
    <n v="168555"/>
  </r>
  <r>
    <x v="841"/>
    <n v="492837"/>
    <x v="1"/>
    <s v="  "/>
    <n v="303"/>
    <s v="באר שבע, כלניות"/>
    <x v="2"/>
    <d v="2015-08-30T00:00:00"/>
    <x v="3"/>
    <n v="8"/>
    <s v="בש/407/2014"/>
    <x v="1"/>
    <n v="1"/>
    <m/>
    <n v="168782"/>
  </r>
  <r>
    <x v="842"/>
    <n v="576536"/>
    <x v="1"/>
    <s v="  "/>
    <n v="1020"/>
    <s v="באר שבע, כלניות"/>
    <x v="2"/>
    <d v="2016-06-27T00:00:00"/>
    <x v="1"/>
    <n v="6"/>
    <s v="בש/256/2015"/>
    <x v="1"/>
    <n v="1"/>
    <m/>
    <n v="169671"/>
  </r>
  <r>
    <x v="843"/>
    <n v="477970"/>
    <x v="1"/>
    <s v="  "/>
    <n v="366"/>
    <s v="באר שבע, כלניות"/>
    <x v="2"/>
    <d v="2015-08-30T00:00:00"/>
    <x v="3"/>
    <n v="8"/>
    <s v="בש/407/2014"/>
    <x v="1"/>
    <n v="1"/>
    <m/>
    <n v="170000"/>
  </r>
  <r>
    <x v="843"/>
    <n v="569702"/>
    <x v="1"/>
    <s v="  "/>
    <n v="1117"/>
    <s v="באר שבע, כלניות"/>
    <x v="2"/>
    <d v="2016-06-27T00:00:00"/>
    <x v="1"/>
    <n v="6"/>
    <s v="בש/256/2015"/>
    <x v="1"/>
    <n v="1"/>
    <m/>
    <n v="170000"/>
  </r>
  <r>
    <x v="844"/>
    <n v="728031"/>
    <x v="1"/>
    <s v="  "/>
    <n v="1207"/>
    <s v="באר שבע, כלניות"/>
    <x v="2"/>
    <d v="2016-06-27T00:00:00"/>
    <x v="1"/>
    <n v="6"/>
    <s v="בש/256/2015"/>
    <x v="1"/>
    <n v="1"/>
    <m/>
    <n v="170005"/>
  </r>
  <r>
    <x v="845"/>
    <n v="492837"/>
    <x v="1"/>
    <s v="  "/>
    <n v="406"/>
    <s v="באר שבע, כלניות"/>
    <x v="2"/>
    <d v="2015-08-30T00:00:00"/>
    <x v="3"/>
    <n v="8"/>
    <s v="בש/407/2014"/>
    <x v="1"/>
    <n v="1"/>
    <m/>
    <n v="170109"/>
  </r>
  <r>
    <x v="846"/>
    <n v="420377"/>
    <x v="1"/>
    <s v="  "/>
    <n v="121"/>
    <s v="באר שבע, נווה נוי"/>
    <x v="2"/>
    <d v="2014-01-13T00:00:00"/>
    <x v="2"/>
    <n v="1"/>
    <s v="בש/235/2013"/>
    <x v="2"/>
    <n v="1"/>
    <m/>
    <n v="170110"/>
  </r>
  <r>
    <x v="847"/>
    <n v="631780"/>
    <x v="1"/>
    <s v="  "/>
    <n v="1004"/>
    <s v="באר שבע, כלניות"/>
    <x v="2"/>
    <d v="2016-06-27T00:00:00"/>
    <x v="1"/>
    <n v="6"/>
    <s v="בש/256/2015"/>
    <x v="1"/>
    <n v="1"/>
    <m/>
    <n v="170202"/>
  </r>
  <r>
    <x v="848"/>
    <n v="492837"/>
    <x v="1"/>
    <s v="  "/>
    <n v="141"/>
    <s v="באר שבע, כלניות"/>
    <x v="2"/>
    <d v="2015-08-30T00:00:00"/>
    <x v="3"/>
    <n v="8"/>
    <s v="בש/407/2014"/>
    <x v="1"/>
    <n v="1"/>
    <m/>
    <n v="170979"/>
  </r>
  <r>
    <x v="849"/>
    <n v="492837"/>
    <x v="1"/>
    <s v="  "/>
    <n v="522"/>
    <s v="באר שבע, כלניות"/>
    <x v="2"/>
    <d v="2015-08-30T00:00:00"/>
    <x v="3"/>
    <n v="8"/>
    <s v="בש/407/2014"/>
    <x v="1"/>
    <n v="1"/>
    <m/>
    <n v="171000"/>
  </r>
  <r>
    <x v="850"/>
    <n v="493333"/>
    <x v="1"/>
    <s v="  "/>
    <n v="423"/>
    <s v="באר שבע, כלניות"/>
    <x v="2"/>
    <d v="2015-08-30T00:00:00"/>
    <x v="3"/>
    <n v="8"/>
    <s v="בש/407/2014"/>
    <x v="1"/>
    <n v="1"/>
    <m/>
    <n v="171100"/>
  </r>
  <r>
    <x v="851"/>
    <n v="587358"/>
    <x v="1"/>
    <s v="  "/>
    <n v="1562"/>
    <s v="באר שבע, כלניות"/>
    <x v="2"/>
    <d v="2016-06-27T00:00:00"/>
    <x v="1"/>
    <n v="6"/>
    <s v="בש/256/2015"/>
    <x v="1"/>
    <n v="1"/>
    <m/>
    <n v="171234"/>
  </r>
  <r>
    <x v="852"/>
    <n v="539517"/>
    <x v="1"/>
    <s v="  "/>
    <n v="1027"/>
    <s v="באר שבע, כלניות"/>
    <x v="2"/>
    <d v="2016-06-27T00:00:00"/>
    <x v="1"/>
    <n v="6"/>
    <s v="בש/256/2015"/>
    <x v="1"/>
    <n v="1"/>
    <m/>
    <n v="171500"/>
  </r>
  <r>
    <x v="853"/>
    <n v="490854"/>
    <x v="1"/>
    <s v="  "/>
    <n v="212"/>
    <s v="באר שבע, כלניות"/>
    <x v="2"/>
    <d v="2015-08-30T00:00:00"/>
    <x v="3"/>
    <n v="8"/>
    <s v="בש/407/2014"/>
    <x v="1"/>
    <n v="1"/>
    <m/>
    <n v="171567"/>
  </r>
  <r>
    <x v="854"/>
    <n v="493828"/>
    <x v="1"/>
    <s v="  "/>
    <n v="176"/>
    <s v="באר שבע, כלניות"/>
    <x v="2"/>
    <d v="2015-08-30T00:00:00"/>
    <x v="3"/>
    <n v="8"/>
    <s v="בש/407/2014"/>
    <x v="1"/>
    <n v="1"/>
    <m/>
    <n v="171598"/>
  </r>
  <r>
    <x v="855"/>
    <n v="428822"/>
    <x v="1"/>
    <s v="  "/>
    <n v="110"/>
    <s v="באר שבע, נווה נוי"/>
    <x v="2"/>
    <d v="2014-12-31T00:00:00"/>
    <x v="2"/>
    <n v="12"/>
    <s v="בש/268/2014"/>
    <x v="2"/>
    <n v="1"/>
    <n v="474"/>
    <n v="171951"/>
  </r>
  <r>
    <x v="856"/>
    <n v="617543"/>
    <x v="1"/>
    <s v="  "/>
    <n v="1032"/>
    <s v="באר שבע, כלניות"/>
    <x v="2"/>
    <d v="2016-06-27T00:00:00"/>
    <x v="1"/>
    <n v="6"/>
    <s v="בש/256/2015"/>
    <x v="1"/>
    <n v="1"/>
    <m/>
    <n v="172428"/>
  </r>
  <r>
    <x v="857"/>
    <n v="542935"/>
    <x v="1"/>
    <s v="  "/>
    <n v="1226"/>
    <s v="באר שבע, כלניות"/>
    <x v="2"/>
    <d v="2016-06-27T00:00:00"/>
    <x v="1"/>
    <n v="6"/>
    <s v="בש/256/2015"/>
    <x v="1"/>
    <n v="1"/>
    <m/>
    <n v="173250"/>
  </r>
  <r>
    <x v="858"/>
    <n v="492837"/>
    <x v="1"/>
    <s v="  "/>
    <n v="412"/>
    <s v="באר שבע, כלניות"/>
    <x v="2"/>
    <d v="2015-08-30T00:00:00"/>
    <x v="3"/>
    <n v="8"/>
    <s v="בש/407/2014"/>
    <x v="1"/>
    <n v="1"/>
    <m/>
    <n v="173318"/>
  </r>
  <r>
    <x v="859"/>
    <n v="595331"/>
    <x v="1"/>
    <s v="  "/>
    <n v="1243"/>
    <s v="באר שבע, כלניות"/>
    <x v="2"/>
    <d v="2016-06-27T00:00:00"/>
    <x v="1"/>
    <n v="6"/>
    <s v="בש/256/2015"/>
    <x v="1"/>
    <n v="1"/>
    <m/>
    <n v="175000"/>
  </r>
  <r>
    <x v="859"/>
    <n v="616404"/>
    <x v="1"/>
    <s v="  "/>
    <n v="1350"/>
    <s v="באר שבע, כלניות"/>
    <x v="2"/>
    <d v="2016-06-27T00:00:00"/>
    <x v="1"/>
    <n v="6"/>
    <s v="בש/256/2015"/>
    <x v="1"/>
    <n v="1"/>
    <m/>
    <n v="175000"/>
  </r>
  <r>
    <x v="860"/>
    <n v="558881"/>
    <x v="1"/>
    <s v="  "/>
    <n v="244"/>
    <s v="באר שבע, כלניות"/>
    <x v="2"/>
    <d v="2016-06-27T00:00:00"/>
    <x v="1"/>
    <n v="6"/>
    <s v="בש/256/2015"/>
    <x v="1"/>
    <n v="1"/>
    <m/>
    <n v="175710"/>
  </r>
  <r>
    <x v="861"/>
    <n v="492837"/>
    <x v="1"/>
    <s v="  "/>
    <n v="397"/>
    <s v="באר שבע, כלניות"/>
    <x v="2"/>
    <d v="2015-08-30T00:00:00"/>
    <x v="3"/>
    <n v="8"/>
    <s v="בש/407/2014"/>
    <x v="1"/>
    <n v="1"/>
    <m/>
    <n v="175730"/>
  </r>
  <r>
    <x v="862"/>
    <n v="493333"/>
    <x v="1"/>
    <s v="  "/>
    <n v="52"/>
    <s v="באר שבע, כלניות"/>
    <x v="2"/>
    <d v="2015-08-30T00:00:00"/>
    <x v="3"/>
    <n v="8"/>
    <s v="בש/407/2014"/>
    <x v="1"/>
    <n v="1"/>
    <m/>
    <n v="176052"/>
  </r>
  <r>
    <x v="863"/>
    <n v="493828"/>
    <x v="1"/>
    <s v="  "/>
    <n v="139"/>
    <s v="באר שבע, כלניות"/>
    <x v="2"/>
    <d v="2015-08-30T00:00:00"/>
    <x v="3"/>
    <n v="8"/>
    <s v="בש/407/2014"/>
    <x v="1"/>
    <n v="1"/>
    <m/>
    <n v="176176"/>
  </r>
  <r>
    <x v="864"/>
    <n v="542364"/>
    <x v="1"/>
    <s v="  "/>
    <n v="1161"/>
    <s v="באר שבע, כלניות"/>
    <x v="2"/>
    <d v="2016-06-27T00:00:00"/>
    <x v="1"/>
    <n v="6"/>
    <s v="בש/256/2015"/>
    <x v="1"/>
    <n v="1"/>
    <m/>
    <n v="176492"/>
  </r>
  <r>
    <x v="865"/>
    <n v="491350"/>
    <x v="1"/>
    <s v="  "/>
    <n v="404"/>
    <s v="באר שבע, כלניות"/>
    <x v="2"/>
    <d v="2015-08-30T00:00:00"/>
    <x v="3"/>
    <n v="8"/>
    <s v="בש/407/2014"/>
    <x v="1"/>
    <n v="1"/>
    <m/>
    <n v="176924"/>
  </r>
  <r>
    <x v="866"/>
    <n v="493828"/>
    <x v="1"/>
    <s v="  "/>
    <n v="411"/>
    <s v="באר שבע, כלניות"/>
    <x v="2"/>
    <d v="2015-08-30T00:00:00"/>
    <x v="3"/>
    <n v="8"/>
    <s v="בש/407/2014"/>
    <x v="1"/>
    <n v="1"/>
    <m/>
    <n v="177055"/>
  </r>
  <r>
    <x v="867"/>
    <n v="487385"/>
    <x v="1"/>
    <s v="  "/>
    <n v="465"/>
    <s v="באר שבע, כלניות"/>
    <x v="2"/>
    <d v="2015-08-30T00:00:00"/>
    <x v="3"/>
    <n v="8"/>
    <s v="בש/407/2014"/>
    <x v="1"/>
    <n v="1"/>
    <m/>
    <n v="177077"/>
  </r>
  <r>
    <x v="868"/>
    <n v="490359"/>
    <x v="1"/>
    <s v="  "/>
    <n v="162"/>
    <s v="באר שבע, כלניות"/>
    <x v="2"/>
    <d v="2015-08-30T00:00:00"/>
    <x v="3"/>
    <n v="8"/>
    <s v="בש/407/2014"/>
    <x v="1"/>
    <n v="1"/>
    <m/>
    <n v="177360"/>
  </r>
  <r>
    <x v="869"/>
    <n v="493333"/>
    <x v="1"/>
    <s v="  "/>
    <n v="161"/>
    <s v="באר שבע, כלניות"/>
    <x v="2"/>
    <d v="2015-08-30T00:00:00"/>
    <x v="3"/>
    <n v="8"/>
    <s v="בש/407/2014"/>
    <x v="1"/>
    <n v="1"/>
    <m/>
    <n v="177378"/>
  </r>
  <r>
    <x v="870"/>
    <n v="513156"/>
    <x v="1"/>
    <s v="  "/>
    <n v="218"/>
    <s v="באר שבע, כלניות"/>
    <x v="2"/>
    <d v="2015-08-30T00:00:00"/>
    <x v="3"/>
    <n v="8"/>
    <s v="בש/407/2014"/>
    <x v="1"/>
    <n v="1"/>
    <m/>
    <n v="177644"/>
  </r>
  <r>
    <x v="871"/>
    <n v="565715"/>
    <x v="1"/>
    <s v="  "/>
    <n v="1094"/>
    <s v="באר שבע, כלניות"/>
    <x v="2"/>
    <d v="2016-06-27T00:00:00"/>
    <x v="1"/>
    <n v="6"/>
    <s v="בש/256/2015"/>
    <x v="1"/>
    <n v="1"/>
    <m/>
    <n v="178280"/>
  </r>
  <r>
    <x v="872"/>
    <n v="573120"/>
    <x v="1"/>
    <s v="  "/>
    <n v="1496"/>
    <s v="באר שבע, כלניות"/>
    <x v="2"/>
    <d v="2016-06-27T00:00:00"/>
    <x v="1"/>
    <n v="6"/>
    <s v="בש/256/2015"/>
    <x v="1"/>
    <n v="1"/>
    <m/>
    <n v="178371"/>
  </r>
  <r>
    <x v="873"/>
    <n v="500271"/>
    <x v="1"/>
    <s v="  "/>
    <n v="57"/>
    <s v="באר שבע, כלניות"/>
    <x v="2"/>
    <d v="2015-08-30T00:00:00"/>
    <x v="3"/>
    <n v="8"/>
    <s v="בש/407/2014"/>
    <x v="1"/>
    <n v="1"/>
    <m/>
    <n v="181000"/>
  </r>
  <r>
    <x v="874"/>
    <n v="487385"/>
    <x v="1"/>
    <s v="  "/>
    <n v="193"/>
    <s v="באר שבע, כלניות"/>
    <x v="2"/>
    <d v="2015-08-30T00:00:00"/>
    <x v="3"/>
    <n v="8"/>
    <s v="בש/407/2014"/>
    <x v="1"/>
    <n v="1"/>
    <m/>
    <n v="181030"/>
  </r>
  <r>
    <x v="875"/>
    <n v="491845"/>
    <x v="1"/>
    <s v="  "/>
    <n v="109"/>
    <s v="באר שבע, כלניות"/>
    <x v="2"/>
    <d v="2015-08-30T00:00:00"/>
    <x v="3"/>
    <n v="8"/>
    <s v="בש/407/2014"/>
    <x v="1"/>
    <n v="1"/>
    <m/>
    <n v="181818"/>
  </r>
  <r>
    <x v="876"/>
    <n v="431809"/>
    <x v="1"/>
    <s v="  "/>
    <n v="143"/>
    <s v="באר שבע, נווה נוי"/>
    <x v="2"/>
    <d v="2014-01-13T00:00:00"/>
    <x v="2"/>
    <n v="1"/>
    <s v="בש/235/2013"/>
    <x v="2"/>
    <n v="1"/>
    <m/>
    <n v="182000"/>
  </r>
  <r>
    <x v="877"/>
    <n v="485899"/>
    <x v="1"/>
    <s v="  "/>
    <n v="482"/>
    <s v="באר שבע, כלניות"/>
    <x v="2"/>
    <d v="2015-08-30T00:00:00"/>
    <x v="3"/>
    <n v="8"/>
    <s v="בש/407/2014"/>
    <x v="1"/>
    <n v="1"/>
    <m/>
    <n v="182100"/>
  </r>
  <r>
    <x v="878"/>
    <n v="481934"/>
    <x v="1"/>
    <s v="  "/>
    <n v="149"/>
    <s v="באר שבע, כלניות"/>
    <x v="2"/>
    <d v="2015-08-30T00:00:00"/>
    <x v="3"/>
    <n v="8"/>
    <s v="בש/407/2014"/>
    <x v="1"/>
    <n v="1"/>
    <m/>
    <n v="182182"/>
  </r>
  <r>
    <x v="879"/>
    <n v="485403"/>
    <x v="1"/>
    <s v="  "/>
    <n v="484"/>
    <s v="באר שבע, כלניות"/>
    <x v="2"/>
    <d v="2015-08-30T00:00:00"/>
    <x v="3"/>
    <n v="8"/>
    <s v="בש/407/2014"/>
    <x v="1"/>
    <n v="1"/>
    <m/>
    <n v="183100"/>
  </r>
  <r>
    <x v="880"/>
    <n v="518608"/>
    <x v="1"/>
    <s v="  "/>
    <n v="134"/>
    <s v="באר שבע, כלניות"/>
    <x v="2"/>
    <d v="2015-08-30T00:00:00"/>
    <x v="3"/>
    <n v="8"/>
    <s v="בש/407/2014"/>
    <x v="1"/>
    <n v="1"/>
    <m/>
    <n v="185075"/>
  </r>
  <r>
    <x v="881"/>
    <n v="541901"/>
    <x v="1"/>
    <s v="  "/>
    <n v="421"/>
    <s v="באר שבע, כלניות"/>
    <x v="2"/>
    <d v="2015-08-30T00:00:00"/>
    <x v="3"/>
    <n v="8"/>
    <s v="בש/407/2014"/>
    <x v="1"/>
    <n v="1"/>
    <m/>
    <n v="185101"/>
  </r>
  <r>
    <x v="882"/>
    <n v="490854"/>
    <x v="1"/>
    <s v="  "/>
    <n v="533"/>
    <s v="באר שבע, כלניות"/>
    <x v="2"/>
    <d v="2015-08-30T00:00:00"/>
    <x v="3"/>
    <n v="8"/>
    <s v="בש/407/2014"/>
    <x v="1"/>
    <n v="1"/>
    <m/>
    <n v="185600"/>
  </r>
  <r>
    <x v="883"/>
    <n v="481934"/>
    <x v="1"/>
    <s v="  "/>
    <n v="91"/>
    <s v="באר שבע, כלניות"/>
    <x v="2"/>
    <d v="2015-08-30T00:00:00"/>
    <x v="3"/>
    <n v="8"/>
    <s v="בש/407/2014"/>
    <x v="1"/>
    <n v="1"/>
    <m/>
    <n v="188000"/>
  </r>
  <r>
    <x v="884"/>
    <n v="562868"/>
    <x v="1"/>
    <s v="  "/>
    <n v="301"/>
    <s v="באר שבע, כלניות"/>
    <x v="2"/>
    <d v="2016-06-27T00:00:00"/>
    <x v="1"/>
    <n v="6"/>
    <s v="בש/256/2015"/>
    <x v="1"/>
    <n v="1"/>
    <m/>
    <n v="189000"/>
  </r>
  <r>
    <x v="885"/>
    <n v="577584"/>
    <x v="1"/>
    <s v="  "/>
    <n v="156"/>
    <s v="באר שבע, כלניות"/>
    <x v="2"/>
    <d v="2015-08-30T00:00:00"/>
    <x v="3"/>
    <n v="8"/>
    <s v="בש/407/2014"/>
    <x v="1"/>
    <n v="1"/>
    <m/>
    <n v="189055"/>
  </r>
  <r>
    <x v="886"/>
    <n v="712653"/>
    <x v="1"/>
    <s v="  "/>
    <n v="1478"/>
    <s v="באר שבע, כלניות"/>
    <x v="2"/>
    <d v="2016-06-27T00:00:00"/>
    <x v="1"/>
    <n v="6"/>
    <s v="בש/256/2015"/>
    <x v="1"/>
    <n v="1"/>
    <m/>
    <n v="191556"/>
  </r>
  <r>
    <x v="887"/>
    <n v="484413"/>
    <x v="1"/>
    <s v="  "/>
    <n v="367"/>
    <s v="באר שבע, כלניות"/>
    <x v="2"/>
    <d v="2015-08-30T00:00:00"/>
    <x v="3"/>
    <n v="8"/>
    <s v="בש/407/2014"/>
    <x v="1"/>
    <n v="1"/>
    <m/>
    <n v="192000"/>
  </r>
  <r>
    <x v="888"/>
    <n v="487385"/>
    <x v="1"/>
    <s v="  "/>
    <n v="195"/>
    <s v="באר שבע, כלניות"/>
    <x v="2"/>
    <d v="2015-08-30T00:00:00"/>
    <x v="3"/>
    <n v="8"/>
    <s v="בש/407/2014"/>
    <x v="1"/>
    <n v="1"/>
    <m/>
    <n v="192800"/>
  </r>
  <r>
    <x v="889"/>
    <n v="492342"/>
    <x v="1"/>
    <s v="  "/>
    <n v="430"/>
    <s v="באר שבע, כלניות"/>
    <x v="2"/>
    <d v="2015-08-30T00:00:00"/>
    <x v="3"/>
    <n v="8"/>
    <s v="בש/407/2014"/>
    <x v="1"/>
    <n v="1"/>
    <m/>
    <n v="193200"/>
  </r>
  <r>
    <x v="890"/>
    <n v="489368"/>
    <x v="1"/>
    <s v="  "/>
    <n v="323"/>
    <s v="באר שבע, כלניות"/>
    <x v="2"/>
    <d v="2015-08-30T00:00:00"/>
    <x v="3"/>
    <n v="8"/>
    <s v="בש/407/2014"/>
    <x v="1"/>
    <n v="1"/>
    <m/>
    <n v="193717"/>
  </r>
  <r>
    <x v="891"/>
    <n v="509191"/>
    <x v="1"/>
    <s v="  "/>
    <n v="497"/>
    <s v="באר שבע, כלניות"/>
    <x v="2"/>
    <d v="2015-08-30T00:00:00"/>
    <x v="3"/>
    <n v="8"/>
    <s v="בש/407/2014"/>
    <x v="1"/>
    <n v="1"/>
    <m/>
    <n v="194753"/>
  </r>
  <r>
    <x v="891"/>
    <n v="509191"/>
    <x v="1"/>
    <s v="  "/>
    <n v="500"/>
    <s v="באר שבע, כלניות"/>
    <x v="2"/>
    <d v="2015-08-30T00:00:00"/>
    <x v="3"/>
    <n v="8"/>
    <s v="בש/407/2014"/>
    <x v="1"/>
    <n v="1"/>
    <m/>
    <n v="194753"/>
  </r>
  <r>
    <x v="892"/>
    <n v="490359"/>
    <x v="1"/>
    <s v="  "/>
    <n v="417"/>
    <s v="באר שבע, כלניות"/>
    <x v="2"/>
    <d v="2015-08-30T00:00:00"/>
    <x v="3"/>
    <n v="8"/>
    <s v="בש/407/2014"/>
    <x v="1"/>
    <n v="1"/>
    <m/>
    <n v="195000"/>
  </r>
  <r>
    <x v="893"/>
    <n v="491350"/>
    <x v="1"/>
    <s v="  "/>
    <n v="420"/>
    <s v="באר שבע, כלניות"/>
    <x v="2"/>
    <d v="2015-08-30T00:00:00"/>
    <x v="3"/>
    <n v="8"/>
    <s v="בש/407/2014"/>
    <x v="1"/>
    <n v="1"/>
    <m/>
    <n v="197000"/>
  </r>
  <r>
    <x v="894"/>
    <n v="482925"/>
    <x v="1"/>
    <s v="  "/>
    <n v="388"/>
    <s v="באר שבע, כלניות"/>
    <x v="2"/>
    <d v="2015-08-30T00:00:00"/>
    <x v="3"/>
    <n v="8"/>
    <s v="בש/407/2014"/>
    <x v="1"/>
    <n v="1"/>
    <m/>
    <n v="197124"/>
  </r>
  <r>
    <x v="895"/>
    <n v="415100"/>
    <x v="1"/>
    <s v="  "/>
    <n v="126"/>
    <s v="באר שבע, נווה נוי"/>
    <x v="2"/>
    <d v="2014-01-13T00:00:00"/>
    <x v="2"/>
    <n v="1"/>
    <s v="בש/235/2013"/>
    <x v="2"/>
    <n v="1"/>
    <m/>
    <n v="200000"/>
  </r>
  <r>
    <x v="895"/>
    <n v="492342"/>
    <x v="1"/>
    <s v="  "/>
    <n v="434"/>
    <s v="באר שבע, כלניות"/>
    <x v="2"/>
    <d v="2015-08-30T00:00:00"/>
    <x v="3"/>
    <n v="8"/>
    <s v="בש/407/2014"/>
    <x v="1"/>
    <n v="1"/>
    <m/>
    <n v="200000"/>
  </r>
  <r>
    <x v="895"/>
    <n v="493828"/>
    <x v="1"/>
    <s v="  "/>
    <n v="122"/>
    <s v="באר שבע, כלניות"/>
    <x v="2"/>
    <d v="2015-08-30T00:00:00"/>
    <x v="3"/>
    <n v="8"/>
    <s v="בש/407/2014"/>
    <x v="1"/>
    <n v="1"/>
    <m/>
    <n v="200000"/>
  </r>
  <r>
    <x v="896"/>
    <n v="486394"/>
    <x v="1"/>
    <s v="  "/>
    <n v="444"/>
    <s v="באר שבע, כלניות"/>
    <x v="2"/>
    <d v="2015-08-30T00:00:00"/>
    <x v="3"/>
    <n v="8"/>
    <s v="בש/407/2014"/>
    <x v="1"/>
    <n v="1"/>
    <m/>
    <n v="200001"/>
  </r>
  <r>
    <x v="897"/>
    <n v="568563"/>
    <x v="1"/>
    <s v="  "/>
    <n v="1025"/>
    <s v="באר שבע, כלניות"/>
    <x v="2"/>
    <d v="2016-06-27T00:00:00"/>
    <x v="1"/>
    <n v="6"/>
    <s v="בש/256/2015"/>
    <x v="1"/>
    <n v="1"/>
    <m/>
    <n v="201000"/>
  </r>
  <r>
    <x v="898"/>
    <n v="490854"/>
    <x v="1"/>
    <s v="  "/>
    <n v="58"/>
    <s v="באר שבע, כלניות"/>
    <x v="2"/>
    <d v="2015-08-30T00:00:00"/>
    <x v="3"/>
    <n v="8"/>
    <s v="בש/407/2014"/>
    <x v="1"/>
    <n v="1"/>
    <m/>
    <n v="201121"/>
  </r>
  <r>
    <x v="899"/>
    <n v="413341"/>
    <x v="1"/>
    <s v="  "/>
    <n v="127"/>
    <s v="באר שבע, נווה נוי"/>
    <x v="2"/>
    <d v="2014-01-13T00:00:00"/>
    <x v="2"/>
    <n v="1"/>
    <s v="בש/235/2013"/>
    <x v="2"/>
    <n v="1"/>
    <m/>
    <n v="201385"/>
  </r>
  <r>
    <x v="900"/>
    <n v="579954"/>
    <x v="1"/>
    <s v="  "/>
    <n v="1022"/>
    <s v="באר שבע, כלניות"/>
    <x v="2"/>
    <d v="2016-06-27T00:00:00"/>
    <x v="1"/>
    <n v="6"/>
    <s v="בש/256/2015"/>
    <x v="1"/>
    <n v="1"/>
    <m/>
    <n v="201500"/>
  </r>
  <r>
    <x v="900"/>
    <n v="579954"/>
    <x v="1"/>
    <s v="  "/>
    <n v="1023"/>
    <s v="באר שבע, כלניות"/>
    <x v="2"/>
    <d v="2016-06-27T00:00:00"/>
    <x v="1"/>
    <n v="6"/>
    <s v="בש/256/2015"/>
    <x v="1"/>
    <n v="1"/>
    <m/>
    <n v="201500"/>
  </r>
  <r>
    <x v="901"/>
    <n v="476979"/>
    <x v="1"/>
    <s v="  "/>
    <n v="318"/>
    <s v="באר שבע, כלניות"/>
    <x v="2"/>
    <d v="2015-08-30T00:00:00"/>
    <x v="3"/>
    <n v="8"/>
    <s v="בש/407/2014"/>
    <x v="1"/>
    <n v="1"/>
    <m/>
    <n v="202560"/>
  </r>
  <r>
    <x v="902"/>
    <n v="499776"/>
    <x v="1"/>
    <s v="  "/>
    <n v="361"/>
    <s v="באר שבע, כלניות"/>
    <x v="2"/>
    <d v="2015-08-30T00:00:00"/>
    <x v="3"/>
    <n v="8"/>
    <s v="בש/407/2014"/>
    <x v="1"/>
    <n v="1"/>
    <m/>
    <n v="203491"/>
  </r>
  <r>
    <x v="903"/>
    <n v="436206"/>
    <x v="1"/>
    <s v="  "/>
    <n v="129"/>
    <s v="באר שבע, נווה נוי"/>
    <x v="2"/>
    <d v="2014-01-13T00:00:00"/>
    <x v="2"/>
    <n v="1"/>
    <s v="בש/235/2013"/>
    <x v="2"/>
    <n v="1"/>
    <m/>
    <n v="204000"/>
  </r>
  <r>
    <x v="904"/>
    <n v="663104"/>
    <x v="1"/>
    <s v="  "/>
    <n v="1217"/>
    <s v="באר שבע, כלניות"/>
    <x v="2"/>
    <d v="2016-06-27T00:00:00"/>
    <x v="1"/>
    <n v="6"/>
    <s v="בש/256/2015"/>
    <x v="1"/>
    <n v="1"/>
    <m/>
    <n v="205000"/>
  </r>
  <r>
    <x v="905"/>
    <n v="492837"/>
    <x v="1"/>
    <s v="  "/>
    <n v="107"/>
    <s v="באר שבע, כלניות"/>
    <x v="2"/>
    <d v="2015-08-30T00:00:00"/>
    <x v="3"/>
    <n v="8"/>
    <s v="בש/407/2014"/>
    <x v="1"/>
    <n v="1"/>
    <m/>
    <n v="205134"/>
  </r>
  <r>
    <x v="906"/>
    <n v="475491"/>
    <x v="1"/>
    <s v="  "/>
    <n v="385"/>
    <s v="באר שבע, כלניות"/>
    <x v="2"/>
    <d v="2015-08-30T00:00:00"/>
    <x v="3"/>
    <n v="8"/>
    <s v="בש/407/2014"/>
    <x v="1"/>
    <n v="1"/>
    <m/>
    <n v="205362"/>
  </r>
  <r>
    <x v="907"/>
    <n v="493828"/>
    <x v="1"/>
    <s v="  "/>
    <n v="390"/>
    <s v="באר שבע, כלניות"/>
    <x v="2"/>
    <d v="2015-08-30T00:00:00"/>
    <x v="3"/>
    <n v="8"/>
    <s v="בש/407/2014"/>
    <x v="1"/>
    <n v="1"/>
    <m/>
    <n v="205500"/>
  </r>
  <r>
    <x v="908"/>
    <n v="493333"/>
    <x v="1"/>
    <s v="  "/>
    <n v="168"/>
    <s v="באר שבע, כלניות"/>
    <x v="2"/>
    <d v="2015-08-30T00:00:00"/>
    <x v="3"/>
    <n v="8"/>
    <s v="בש/407/2014"/>
    <x v="1"/>
    <n v="1"/>
    <m/>
    <n v="206000"/>
  </r>
  <r>
    <x v="909"/>
    <n v="491350"/>
    <x v="1"/>
    <s v="  "/>
    <n v="100"/>
    <s v="באר שבע, כלניות"/>
    <x v="2"/>
    <d v="2015-08-30T00:00:00"/>
    <x v="3"/>
    <n v="8"/>
    <s v="בש/407/2014"/>
    <x v="1"/>
    <n v="1"/>
    <m/>
    <n v="206353"/>
  </r>
  <r>
    <x v="910"/>
    <n v="488377"/>
    <x v="1"/>
    <s v="  "/>
    <n v="54"/>
    <s v="באר שבע, כלניות"/>
    <x v="2"/>
    <d v="2015-08-30T00:00:00"/>
    <x v="3"/>
    <n v="8"/>
    <s v="בש/407/2014"/>
    <x v="1"/>
    <n v="1"/>
    <m/>
    <n v="206696"/>
  </r>
  <r>
    <x v="911"/>
    <n v="492837"/>
    <x v="1"/>
    <s v="  "/>
    <n v="287"/>
    <s v="באר שבע, כלניות"/>
    <x v="2"/>
    <d v="2015-08-30T00:00:00"/>
    <x v="3"/>
    <n v="8"/>
    <s v="בש/407/2014"/>
    <x v="1"/>
    <n v="1"/>
    <m/>
    <n v="209133"/>
  </r>
  <r>
    <x v="912"/>
    <n v="454234"/>
    <x v="1"/>
    <s v="  "/>
    <n v="155"/>
    <s v="באר שבע, נווה נוי"/>
    <x v="2"/>
    <d v="2014-01-13T00:00:00"/>
    <x v="2"/>
    <n v="1"/>
    <s v="בש/235/2013"/>
    <x v="2"/>
    <n v="1"/>
    <m/>
    <n v="210750"/>
  </r>
  <r>
    <x v="913"/>
    <n v="489368"/>
    <x v="1"/>
    <s v="  "/>
    <n v="88"/>
    <s v="באר שבע, כלניות"/>
    <x v="2"/>
    <d v="2015-08-30T00:00:00"/>
    <x v="3"/>
    <n v="8"/>
    <s v="בש/407/2014"/>
    <x v="1"/>
    <n v="1"/>
    <m/>
    <n v="212144"/>
  </r>
  <r>
    <x v="914"/>
    <n v="487882"/>
    <x v="1"/>
    <s v="  "/>
    <n v="51"/>
    <s v="באר שבע, כלניות"/>
    <x v="2"/>
    <d v="2015-08-30T00:00:00"/>
    <x v="3"/>
    <n v="8"/>
    <s v="בש/407/2014"/>
    <x v="1"/>
    <n v="1"/>
    <m/>
    <n v="214963"/>
  </r>
  <r>
    <x v="915"/>
    <n v="491350"/>
    <x v="1"/>
    <s v="  "/>
    <n v="419"/>
    <s v="באר שבע, כלניות"/>
    <x v="2"/>
    <d v="2015-08-30T00:00:00"/>
    <x v="3"/>
    <n v="8"/>
    <s v="בש/407/2014"/>
    <x v="1"/>
    <n v="1"/>
    <m/>
    <n v="216000"/>
  </r>
  <r>
    <x v="916"/>
    <n v="449397"/>
    <x v="1"/>
    <s v="  "/>
    <n v="153"/>
    <s v="באר שבע, נווה נוי"/>
    <x v="2"/>
    <d v="2014-01-13T00:00:00"/>
    <x v="2"/>
    <n v="1"/>
    <s v="בש/235/2013"/>
    <x v="2"/>
    <n v="1"/>
    <m/>
    <n v="218778"/>
  </r>
  <r>
    <x v="917"/>
    <n v="567424"/>
    <x v="1"/>
    <s v="  "/>
    <n v="1001"/>
    <s v="באר שבע, כלניות"/>
    <x v="2"/>
    <d v="2016-06-27T00:00:00"/>
    <x v="1"/>
    <n v="6"/>
    <s v="בש/256/2015"/>
    <x v="1"/>
    <n v="1"/>
    <m/>
    <n v="220150"/>
  </r>
  <r>
    <x v="918"/>
    <n v="479951"/>
    <x v="1"/>
    <s v="  "/>
    <n v="190"/>
    <s v="באר שבע, כלניות"/>
    <x v="2"/>
    <d v="2015-08-30T00:00:00"/>
    <x v="3"/>
    <n v="8"/>
    <s v="בש/407/2014"/>
    <x v="1"/>
    <n v="1"/>
    <m/>
    <n v="221558"/>
  </r>
  <r>
    <x v="919"/>
    <n v="419057"/>
    <x v="1"/>
    <s v="  "/>
    <n v="109"/>
    <s v="באר שבע, נווה נוי"/>
    <x v="2"/>
    <d v="2014-01-13T00:00:00"/>
    <x v="2"/>
    <n v="1"/>
    <s v="בש/235/2013"/>
    <x v="2"/>
    <n v="1"/>
    <m/>
    <n v="223559"/>
  </r>
  <r>
    <x v="920"/>
    <n v="387789"/>
    <x v="1"/>
    <s v="  "/>
    <n v="12"/>
    <s v="באר שבע, נווה נוי"/>
    <x v="2"/>
    <d v="2014-01-13T00:00:00"/>
    <x v="2"/>
    <n v="1"/>
    <s v="בש/235/2013"/>
    <x v="2"/>
    <n v="1"/>
    <m/>
    <n v="226226"/>
  </r>
  <r>
    <x v="921"/>
    <n v="387349"/>
    <x v="1"/>
    <s v="  "/>
    <n v="15"/>
    <s v="באר שבע, נווה נוי"/>
    <x v="2"/>
    <d v="2014-01-13T00:00:00"/>
    <x v="2"/>
    <n v="1"/>
    <s v="בש/235/2013"/>
    <x v="2"/>
    <n v="1"/>
    <m/>
    <n v="227294"/>
  </r>
  <r>
    <x v="922"/>
    <n v="432249"/>
    <x v="1"/>
    <s v="  "/>
    <n v="144"/>
    <s v="באר שבע, נווה נוי"/>
    <x v="2"/>
    <d v="2014-01-13T00:00:00"/>
    <x v="2"/>
    <n v="1"/>
    <s v="בש/235/2013"/>
    <x v="2"/>
    <n v="1"/>
    <m/>
    <n v="227777"/>
  </r>
  <r>
    <x v="923"/>
    <n v="489864"/>
    <x v="1"/>
    <s v="  "/>
    <n v="426"/>
    <s v="באר שבע, כלניות"/>
    <x v="2"/>
    <d v="2015-08-30T00:00:00"/>
    <x v="3"/>
    <n v="8"/>
    <s v="בש/407/2014"/>
    <x v="1"/>
    <n v="1"/>
    <m/>
    <n v="231449"/>
  </r>
  <r>
    <x v="924"/>
    <n v="417738"/>
    <x v="1"/>
    <s v="  "/>
    <n v="101"/>
    <s v="באר שבע, נווה נוי"/>
    <x v="2"/>
    <d v="2014-01-13T00:00:00"/>
    <x v="2"/>
    <n v="1"/>
    <s v="בש/235/2013"/>
    <x v="2"/>
    <n v="1"/>
    <m/>
    <n v="231700"/>
  </r>
  <r>
    <x v="925"/>
    <n v="493333"/>
    <x v="1"/>
    <s v="  "/>
    <n v="448"/>
    <s v="באר שבע, כלניות"/>
    <x v="2"/>
    <d v="2015-08-30T00:00:00"/>
    <x v="3"/>
    <n v="8"/>
    <s v="בש/407/2014"/>
    <x v="1"/>
    <n v="1"/>
    <m/>
    <n v="231955"/>
  </r>
  <r>
    <x v="926"/>
    <n v="526537"/>
    <x v="1"/>
    <s v="  "/>
    <n v="96"/>
    <s v="באר שבע, כלניות"/>
    <x v="2"/>
    <d v="2015-08-30T00:00:00"/>
    <x v="3"/>
    <n v="8"/>
    <s v="בש/407/2014"/>
    <x v="1"/>
    <n v="1"/>
    <m/>
    <n v="232670"/>
  </r>
  <r>
    <x v="927"/>
    <n v="703541"/>
    <x v="1"/>
    <s v="  "/>
    <n v="1413"/>
    <s v="באר שבע, כלניות"/>
    <x v="2"/>
    <d v="2016-06-27T00:00:00"/>
    <x v="1"/>
    <n v="6"/>
    <s v="בש/256/2015"/>
    <x v="1"/>
    <n v="1"/>
    <m/>
    <n v="234000"/>
  </r>
  <r>
    <x v="928"/>
    <n v="513156"/>
    <x v="1"/>
    <s v="  "/>
    <n v="103"/>
    <s v="באר שבע, כלניות"/>
    <x v="2"/>
    <d v="2015-08-30T00:00:00"/>
    <x v="3"/>
    <n v="8"/>
    <s v="בש/407/2014"/>
    <x v="1"/>
    <n v="1"/>
    <m/>
    <n v="236000"/>
  </r>
  <r>
    <x v="929"/>
    <n v="403668"/>
    <x v="1"/>
    <s v="  "/>
    <n v="120"/>
    <s v="באר שבע, נווה נוי"/>
    <x v="2"/>
    <d v="2014-01-13T00:00:00"/>
    <x v="2"/>
    <n v="1"/>
    <s v="בש/235/2013"/>
    <x v="2"/>
    <n v="1"/>
    <m/>
    <n v="236601"/>
  </r>
  <r>
    <x v="930"/>
    <n v="492837"/>
    <x v="1"/>
    <s v="  "/>
    <n v="321"/>
    <s v="באר שבע, כלניות"/>
    <x v="2"/>
    <d v="2015-08-30T00:00:00"/>
    <x v="3"/>
    <n v="8"/>
    <s v="בש/407/2014"/>
    <x v="1"/>
    <n v="1"/>
    <m/>
    <n v="237746"/>
  </r>
  <r>
    <x v="931"/>
    <n v="432688"/>
    <x v="1"/>
    <s v="  "/>
    <n v="146"/>
    <s v="באר שבע, נווה נוי"/>
    <x v="2"/>
    <d v="2014-01-13T00:00:00"/>
    <x v="2"/>
    <n v="1"/>
    <s v="בש/235/2013"/>
    <x v="2"/>
    <n v="1"/>
    <m/>
    <n v="238702"/>
  </r>
  <r>
    <x v="932"/>
    <n v="420816"/>
    <x v="1"/>
    <s v="  "/>
    <n v="151"/>
    <s v="באר שבע, נווה נוי"/>
    <x v="2"/>
    <d v="2014-01-13T00:00:00"/>
    <x v="2"/>
    <n v="1"/>
    <s v="בש/235/2013"/>
    <x v="2"/>
    <n v="1"/>
    <m/>
    <n v="241305"/>
  </r>
  <r>
    <x v="933"/>
    <n v="524556"/>
    <x v="1"/>
    <s v="  "/>
    <n v="95"/>
    <s v="באר שבע, כלניות"/>
    <x v="2"/>
    <d v="2015-08-30T00:00:00"/>
    <x v="3"/>
    <n v="8"/>
    <s v="בש/407/2014"/>
    <x v="1"/>
    <n v="1"/>
    <m/>
    <n v="242670"/>
  </r>
  <r>
    <x v="934"/>
    <n v="492837"/>
    <x v="1"/>
    <s v="  "/>
    <n v="433"/>
    <s v="באר שבע, כלניות"/>
    <x v="2"/>
    <d v="2015-08-30T00:00:00"/>
    <x v="3"/>
    <n v="8"/>
    <s v="בש/407/2014"/>
    <x v="1"/>
    <n v="1"/>
    <m/>
    <n v="243990"/>
  </r>
  <r>
    <x v="935"/>
    <n v="402349"/>
    <x v="1"/>
    <s v="  "/>
    <n v="104"/>
    <s v="באר שבע, נווה נוי"/>
    <x v="2"/>
    <d v="2014-01-13T00:00:00"/>
    <x v="2"/>
    <n v="1"/>
    <s v="בש/235/2013"/>
    <x v="2"/>
    <n v="1"/>
    <m/>
    <n v="245338"/>
  </r>
  <r>
    <x v="936"/>
    <n v="437085"/>
    <x v="1"/>
    <s v="  "/>
    <n v="157"/>
    <s v="באר שבע, נווה נוי"/>
    <x v="2"/>
    <d v="2014-01-13T00:00:00"/>
    <x v="2"/>
    <n v="1"/>
    <s v="בש/235/2013"/>
    <x v="2"/>
    <n v="1"/>
    <m/>
    <n v="245555"/>
  </r>
  <r>
    <x v="937"/>
    <n v="403228"/>
    <x v="1"/>
    <s v="  "/>
    <n v="107"/>
    <s v="באר שבע, נווה נוי"/>
    <x v="2"/>
    <d v="2014-01-13T00:00:00"/>
    <x v="2"/>
    <n v="1"/>
    <s v="בש/235/2013"/>
    <x v="2"/>
    <n v="1"/>
    <m/>
    <n v="250000"/>
  </r>
  <r>
    <x v="937"/>
    <n v="408540"/>
    <x v="1"/>
    <s v="  "/>
    <n v="124"/>
    <s v="באר שבע, נווה נוי"/>
    <x v="2"/>
    <d v="2015-10-11T00:00:00"/>
    <x v="3"/>
    <n v="10"/>
    <s v="בש/46/2015"/>
    <x v="2"/>
    <n v="1"/>
    <n v="423"/>
    <n v="250000"/>
  </r>
  <r>
    <x v="938"/>
    <n v="405427"/>
    <x v="1"/>
    <s v="  "/>
    <n v="123"/>
    <s v="באר שבע, נווה נוי"/>
    <x v="2"/>
    <d v="2014-01-13T00:00:00"/>
    <x v="2"/>
    <n v="1"/>
    <s v="בש/235/2013"/>
    <x v="2"/>
    <n v="1"/>
    <m/>
    <n v="251100"/>
  </r>
  <r>
    <x v="939"/>
    <n v="534467"/>
    <x v="1"/>
    <s v="  "/>
    <n v="425"/>
    <s v="באר שבע, כלניות"/>
    <x v="2"/>
    <d v="2015-08-30T00:00:00"/>
    <x v="3"/>
    <n v="8"/>
    <s v="בש/407/2014"/>
    <x v="1"/>
    <n v="1"/>
    <m/>
    <n v="251601"/>
  </r>
  <r>
    <x v="940"/>
    <n v="436646"/>
    <x v="1"/>
    <s v="  "/>
    <n v="142"/>
    <s v="באר שבע, נווה נוי"/>
    <x v="2"/>
    <d v="2014-01-13T00:00:00"/>
    <x v="2"/>
    <n v="1"/>
    <s v="בש/235/2013"/>
    <x v="2"/>
    <n v="1"/>
    <m/>
    <n v="253500"/>
  </r>
  <r>
    <x v="941"/>
    <n v="401030"/>
    <x v="1"/>
    <s v="  "/>
    <n v="122"/>
    <s v="באר שבע, נווה נוי"/>
    <x v="2"/>
    <d v="2014-01-13T00:00:00"/>
    <x v="2"/>
    <n v="1"/>
    <s v="בש/235/2013"/>
    <x v="2"/>
    <n v="1"/>
    <m/>
    <n v="255000"/>
  </r>
  <r>
    <x v="942"/>
    <n v="445879"/>
    <x v="1"/>
    <s v="  "/>
    <n v="132"/>
    <s v="באר שבע, נווה נוי"/>
    <x v="2"/>
    <d v="2014-01-13T00:00:00"/>
    <x v="2"/>
    <n v="1"/>
    <s v="בש/235/2013"/>
    <x v="2"/>
    <n v="1"/>
    <m/>
    <n v="256026"/>
  </r>
  <r>
    <x v="943"/>
    <n v="403668"/>
    <x v="1"/>
    <s v="  "/>
    <n v="119"/>
    <s v="באר שבע, נווה נוי"/>
    <x v="2"/>
    <d v="2014-01-13T00:00:00"/>
    <x v="2"/>
    <n v="1"/>
    <s v="בש/235/2013"/>
    <x v="2"/>
    <n v="1"/>
    <m/>
    <n v="256555"/>
  </r>
  <r>
    <x v="944"/>
    <n v="693289"/>
    <x v="1"/>
    <s v="  "/>
    <n v="1359"/>
    <s v="באר שבע, כלניות"/>
    <x v="2"/>
    <d v="2016-06-27T00:00:00"/>
    <x v="1"/>
    <n v="6"/>
    <s v="בש/256/2015"/>
    <x v="1"/>
    <n v="1"/>
    <m/>
    <n v="256759"/>
  </r>
  <r>
    <x v="945"/>
    <n v="446319"/>
    <x v="1"/>
    <s v="  "/>
    <n v="139"/>
    <s v="באר שבע, נווה נוי"/>
    <x v="2"/>
    <d v="2014-01-13T00:00:00"/>
    <x v="2"/>
    <n v="1"/>
    <s v="בש/235/2013"/>
    <x v="2"/>
    <n v="1"/>
    <m/>
    <n v="256789"/>
  </r>
  <r>
    <x v="946"/>
    <n v="491845"/>
    <x v="1"/>
    <s v="  "/>
    <n v="16"/>
    <s v="באר שבע, כלניות"/>
    <x v="2"/>
    <d v="2015-08-30T00:00:00"/>
    <x v="3"/>
    <n v="8"/>
    <s v="בש/407/2014"/>
    <x v="1"/>
    <n v="1"/>
    <m/>
    <n v="258155"/>
  </r>
  <r>
    <x v="947"/>
    <n v="384711"/>
    <x v="1"/>
    <s v="  "/>
    <n v="10"/>
    <s v="באר שבע, נווה נוי"/>
    <x v="2"/>
    <d v="2014-01-13T00:00:00"/>
    <x v="2"/>
    <n v="1"/>
    <s v="בש/235/2013"/>
    <x v="2"/>
    <n v="1"/>
    <m/>
    <n v="260000"/>
  </r>
  <r>
    <x v="948"/>
    <n v="457751"/>
    <x v="1"/>
    <s v="  "/>
    <n v="154"/>
    <s v="באר שבע, נווה נוי"/>
    <x v="2"/>
    <d v="2014-01-13T00:00:00"/>
    <x v="2"/>
    <n v="1"/>
    <s v="בש/235/2013"/>
    <x v="2"/>
    <n v="1"/>
    <m/>
    <n v="261111"/>
  </r>
  <r>
    <x v="949"/>
    <n v="432688"/>
    <x v="1"/>
    <s v="  "/>
    <n v="145"/>
    <s v="באר שבע, נווה נוי"/>
    <x v="2"/>
    <d v="2014-01-13T00:00:00"/>
    <x v="2"/>
    <n v="1"/>
    <s v="בש/235/2013"/>
    <x v="2"/>
    <n v="1"/>
    <m/>
    <n v="268501"/>
  </r>
  <r>
    <x v="950"/>
    <n v="417689"/>
    <x v="1"/>
    <s v="  "/>
    <n v="17"/>
    <s v="באר שבע, נווה נוי"/>
    <x v="2"/>
    <d v="2014-01-13T00:00:00"/>
    <x v="2"/>
    <n v="1"/>
    <s v="בש/235/2013"/>
    <x v="2"/>
    <n v="1"/>
    <m/>
    <n v="269000"/>
  </r>
  <r>
    <x v="951"/>
    <n v="408065"/>
    <x v="1"/>
    <s v="  "/>
    <n v="118"/>
    <s v="באר שבע, נווה נוי"/>
    <x v="2"/>
    <d v="2014-01-13T00:00:00"/>
    <x v="2"/>
    <n v="1"/>
    <s v="בש/235/2013"/>
    <x v="2"/>
    <n v="1"/>
    <m/>
    <n v="271254"/>
  </r>
  <r>
    <x v="952"/>
    <n v="385151"/>
    <x v="1"/>
    <s v="  "/>
    <n v="14"/>
    <s v="באר שבע, נווה נוי"/>
    <x v="2"/>
    <d v="2014-01-13T00:00:00"/>
    <x v="2"/>
    <n v="1"/>
    <s v="בש/235/2013"/>
    <x v="2"/>
    <n v="1"/>
    <m/>
    <n v="276000"/>
  </r>
  <r>
    <x v="953"/>
    <n v="401909"/>
    <x v="1"/>
    <s v="  "/>
    <n v="105"/>
    <s v="באר שבע, נווה נוי"/>
    <x v="2"/>
    <d v="2014-01-13T00:00:00"/>
    <x v="2"/>
    <n v="1"/>
    <s v="בש/235/2013"/>
    <x v="2"/>
    <n v="1"/>
    <m/>
    <n v="277169"/>
  </r>
  <r>
    <x v="954"/>
    <n v="433568"/>
    <x v="1"/>
    <s v="  "/>
    <n v="115"/>
    <s v="באר שבע, נווה נוי"/>
    <x v="2"/>
    <d v="2014-01-13T00:00:00"/>
    <x v="2"/>
    <n v="1"/>
    <s v="בש/235/2013"/>
    <x v="2"/>
    <n v="1"/>
    <m/>
    <n v="280000"/>
  </r>
  <r>
    <x v="955"/>
    <n v="384711"/>
    <x v="1"/>
    <s v="  "/>
    <n v="11"/>
    <s v="באר שבע, נווה נוי"/>
    <x v="2"/>
    <d v="2014-01-13T00:00:00"/>
    <x v="2"/>
    <n v="1"/>
    <s v="בש/235/2013"/>
    <x v="2"/>
    <n v="1"/>
    <m/>
    <n v="281000"/>
  </r>
  <r>
    <x v="956"/>
    <n v="491350"/>
    <x v="1"/>
    <s v="  "/>
    <n v="33"/>
    <s v="באר שבע, כלניות"/>
    <x v="2"/>
    <d v="2015-08-30T00:00:00"/>
    <x v="3"/>
    <n v="8"/>
    <s v="בש/407/2014"/>
    <x v="1"/>
    <n v="1"/>
    <m/>
    <n v="284167"/>
  </r>
  <r>
    <x v="957"/>
    <n v="516625"/>
    <x v="1"/>
    <s v="  "/>
    <n v="104"/>
    <s v="באר שבע, כלניות"/>
    <x v="2"/>
    <d v="2015-08-30T00:00:00"/>
    <x v="3"/>
    <n v="8"/>
    <s v="בש/407/2014"/>
    <x v="1"/>
    <n v="1"/>
    <m/>
    <n v="285000"/>
  </r>
  <r>
    <x v="958"/>
    <n v="429610"/>
    <x v="1"/>
    <s v="  "/>
    <n v="130"/>
    <s v="באר שבע, נווה נוי"/>
    <x v="2"/>
    <d v="2014-01-13T00:00:00"/>
    <x v="2"/>
    <n v="1"/>
    <s v="בש/235/2013"/>
    <x v="2"/>
    <n v="1"/>
    <m/>
    <n v="288466"/>
  </r>
  <r>
    <x v="959"/>
    <n v="436646"/>
    <x v="1"/>
    <s v="  "/>
    <n v="141"/>
    <s v="באר שבע, נווה נוי"/>
    <x v="2"/>
    <d v="2014-01-13T00:00:00"/>
    <x v="2"/>
    <n v="1"/>
    <s v="בש/235/2013"/>
    <x v="2"/>
    <n v="1"/>
    <m/>
    <n v="295555"/>
  </r>
  <r>
    <x v="960"/>
    <n v="467425"/>
    <x v="1"/>
    <s v="  "/>
    <n v="113"/>
    <s v="באר שבע, נווה נוי"/>
    <x v="2"/>
    <d v="2014-01-13T00:00:00"/>
    <x v="2"/>
    <n v="1"/>
    <s v="בש/235/2013"/>
    <x v="2"/>
    <n v="1"/>
    <m/>
    <n v="296012"/>
  </r>
  <r>
    <x v="961"/>
    <n v="407185"/>
    <x v="1"/>
    <s v="  "/>
    <n v="125"/>
    <s v="באר שבע, נווה נוי"/>
    <x v="2"/>
    <d v="2014-01-13T00:00:00"/>
    <x v="2"/>
    <n v="1"/>
    <s v="בש/235/2013"/>
    <x v="2"/>
    <n v="1"/>
    <m/>
    <n v="297572"/>
  </r>
  <r>
    <x v="962"/>
    <n v="427852"/>
    <x v="1"/>
    <s v="  "/>
    <n v="112"/>
    <s v="באר שבע, נווה נוי"/>
    <x v="2"/>
    <d v="2014-01-13T00:00:00"/>
    <x v="2"/>
    <n v="1"/>
    <s v="בש/235/2013"/>
    <x v="2"/>
    <n v="1"/>
    <m/>
    <n v="300055"/>
  </r>
  <r>
    <x v="963"/>
    <n v="439723"/>
    <x v="1"/>
    <s v="  "/>
    <n v="117"/>
    <s v="באר שבע, נווה נוי"/>
    <x v="2"/>
    <d v="2014-01-13T00:00:00"/>
    <x v="2"/>
    <n v="1"/>
    <s v="בש/235/2013"/>
    <x v="2"/>
    <n v="1"/>
    <m/>
    <n v="305556"/>
  </r>
  <r>
    <x v="964"/>
    <n v="384711"/>
    <x v="1"/>
    <s v="  "/>
    <n v="16"/>
    <s v="באר שבע, נווה נוי"/>
    <x v="2"/>
    <d v="2014-01-13T00:00:00"/>
    <x v="2"/>
    <n v="1"/>
    <s v="בש/235/2013"/>
    <x v="2"/>
    <n v="1"/>
    <m/>
    <n v="305905"/>
  </r>
  <r>
    <x v="965"/>
    <n v="388229"/>
    <x v="1"/>
    <s v="  "/>
    <n v="13"/>
    <s v="באר שבע, נווה נוי"/>
    <x v="2"/>
    <d v="2014-01-13T00:00:00"/>
    <x v="2"/>
    <n v="1"/>
    <s v="בש/235/2013"/>
    <x v="2"/>
    <n v="1"/>
    <m/>
    <n v="311118"/>
  </r>
  <r>
    <x v="966"/>
    <n v="477978"/>
    <x v="1"/>
    <s v="  "/>
    <n v="136"/>
    <s v="באר שבע, נווה נוי"/>
    <x v="2"/>
    <d v="2014-01-13T00:00:00"/>
    <x v="2"/>
    <n v="1"/>
    <s v="בש/235/2013"/>
    <x v="2"/>
    <n v="1"/>
    <m/>
    <n v="318330"/>
  </r>
  <r>
    <x v="967"/>
    <n v="420377"/>
    <x v="1"/>
    <s v="  "/>
    <n v="111"/>
    <s v="באר שבע, נווה נוי"/>
    <x v="2"/>
    <d v="2014-01-13T00:00:00"/>
    <x v="2"/>
    <n v="1"/>
    <s v="בש/235/2013"/>
    <x v="2"/>
    <n v="1"/>
    <m/>
    <n v="320000"/>
  </r>
  <r>
    <x v="968"/>
    <n v="435326"/>
    <x v="1"/>
    <s v="  "/>
    <n v="131"/>
    <s v="באר שבע, נווה נוי"/>
    <x v="2"/>
    <d v="2014-01-13T00:00:00"/>
    <x v="2"/>
    <n v="1"/>
    <s v="בש/235/2013"/>
    <x v="2"/>
    <n v="1"/>
    <m/>
    <n v="320500"/>
  </r>
  <r>
    <x v="969"/>
    <n v="402788"/>
    <x v="1"/>
    <s v="  "/>
    <n v="103"/>
    <s v="באר שבע, נווה נוי"/>
    <x v="2"/>
    <d v="2014-01-13T00:00:00"/>
    <x v="2"/>
    <n v="1"/>
    <s v="בש/235/2013"/>
    <x v="2"/>
    <n v="1"/>
    <m/>
    <n v="323460"/>
  </r>
  <r>
    <x v="970"/>
    <n v="452475"/>
    <x v="1"/>
    <s v="  "/>
    <n v="128"/>
    <s v="באר שבע, נווה נוי"/>
    <x v="2"/>
    <d v="2014-01-13T00:00:00"/>
    <x v="2"/>
    <n v="1"/>
    <s v="בש/235/2013"/>
    <x v="2"/>
    <n v="1"/>
    <m/>
    <n v="331999"/>
  </r>
  <r>
    <x v="971"/>
    <n v="515699"/>
    <x v="2"/>
    <s v="  "/>
    <n v="202"/>
    <s v="באר שבע, עמק שרה"/>
    <x v="2"/>
    <d v="2014-06-29T00:00:00"/>
    <x v="2"/>
    <n v="6"/>
    <s v="בש/71/2014"/>
    <x v="2"/>
    <m/>
    <n v="2109"/>
    <n v="333000"/>
  </r>
  <r>
    <x v="972"/>
    <n v="402788"/>
    <x v="1"/>
    <s v="  "/>
    <n v="106"/>
    <s v="באר שבע, נווה נוי"/>
    <x v="2"/>
    <d v="2014-01-13T00:00:00"/>
    <x v="2"/>
    <n v="1"/>
    <s v="בש/235/2013"/>
    <x v="2"/>
    <n v="1"/>
    <m/>
    <n v="336620"/>
  </r>
  <r>
    <x v="973"/>
    <n v="418618"/>
    <x v="1"/>
    <s v="  "/>
    <n v="116"/>
    <s v="באר שבע, נווה נוי"/>
    <x v="2"/>
    <d v="2014-01-13T00:00:00"/>
    <x v="2"/>
    <n v="1"/>
    <s v="בש/235/2013"/>
    <x v="2"/>
    <n v="1"/>
    <m/>
    <n v="336937"/>
  </r>
  <r>
    <x v="974"/>
    <n v="451595"/>
    <x v="1"/>
    <s v="  "/>
    <n v="133"/>
    <s v="באר שבע, נווה נוי"/>
    <x v="2"/>
    <d v="2014-01-13T00:00:00"/>
    <x v="2"/>
    <n v="1"/>
    <s v="בש/235/2013"/>
    <x v="2"/>
    <n v="1"/>
    <m/>
    <n v="340605"/>
  </r>
  <r>
    <x v="975"/>
    <n v="456872"/>
    <x v="1"/>
    <s v="  "/>
    <n v="138"/>
    <s v="באר שבע, נווה נוי"/>
    <x v="2"/>
    <d v="2014-01-13T00:00:00"/>
    <x v="2"/>
    <n v="1"/>
    <s v="בש/235/2013"/>
    <x v="2"/>
    <n v="1"/>
    <m/>
    <n v="341633"/>
  </r>
  <r>
    <x v="976"/>
    <n v="435766"/>
    <x v="1"/>
    <s v="  "/>
    <n v="140"/>
    <s v="באר שבע, נווה נוי"/>
    <x v="2"/>
    <d v="2014-01-13T00:00:00"/>
    <x v="2"/>
    <n v="1"/>
    <s v="בש/235/2013"/>
    <x v="2"/>
    <n v="1"/>
    <m/>
    <n v="351555"/>
  </r>
  <r>
    <x v="977"/>
    <n v="530998"/>
    <x v="1"/>
    <s v="  "/>
    <n v="217"/>
    <s v="באר שבע, כלניות"/>
    <x v="2"/>
    <d v="2015-08-30T00:00:00"/>
    <x v="3"/>
    <n v="8"/>
    <s v="בש/407/2014"/>
    <x v="1"/>
    <n v="1"/>
    <m/>
    <n v="369002"/>
  </r>
  <r>
    <x v="978"/>
    <n v="498654"/>
    <x v="1"/>
    <s v="  "/>
    <n v="43"/>
    <s v="באר שבע, רמות"/>
    <x v="2"/>
    <d v="2014-11-16T00:00:00"/>
    <x v="2"/>
    <n v="11"/>
    <s v="בש/238/2014"/>
    <x v="2"/>
    <n v="1"/>
    <m/>
    <n v="380000"/>
  </r>
  <r>
    <x v="979"/>
    <n v="496445"/>
    <x v="1"/>
    <s v="  "/>
    <n v="135"/>
    <s v="באר שבע, נווה נוי"/>
    <x v="2"/>
    <d v="2014-01-13T00:00:00"/>
    <x v="2"/>
    <n v="1"/>
    <s v="בש/235/2013"/>
    <x v="2"/>
    <n v="1"/>
    <m/>
    <n v="385281"/>
  </r>
  <r>
    <x v="980"/>
    <n v="431809"/>
    <x v="1"/>
    <s v="  "/>
    <n v="114"/>
    <s v="באר שבע, נווה נוי"/>
    <x v="2"/>
    <d v="2014-01-13T00:00:00"/>
    <x v="2"/>
    <n v="1"/>
    <s v="בש/235/2013"/>
    <x v="2"/>
    <n v="1"/>
    <m/>
    <n v="387000"/>
  </r>
  <r>
    <x v="981"/>
    <n v="472261"/>
    <x v="1"/>
    <s v="  "/>
    <n v="134"/>
    <s v="באר שבע, נווה נוי"/>
    <x v="2"/>
    <d v="2014-01-13T00:00:00"/>
    <x v="2"/>
    <n v="1"/>
    <s v="בש/235/2013"/>
    <x v="2"/>
    <n v="1"/>
    <m/>
    <n v="404863"/>
  </r>
  <r>
    <x v="982"/>
    <n v="467425"/>
    <x v="1"/>
    <s v="  "/>
    <n v="137"/>
    <s v="באר שבע, נווה נוי"/>
    <x v="2"/>
    <d v="2014-01-13T00:00:00"/>
    <x v="2"/>
    <n v="1"/>
    <s v="בש/235/2013"/>
    <x v="2"/>
    <n v="1"/>
    <m/>
    <n v="408962"/>
  </r>
  <r>
    <x v="983"/>
    <n v="433568"/>
    <x v="1"/>
    <s v="  "/>
    <n v="152"/>
    <s v="באר שבע, נווה נוי"/>
    <x v="2"/>
    <d v="2014-01-13T00:00:00"/>
    <x v="2"/>
    <n v="1"/>
    <s v="בש/235/2013"/>
    <x v="2"/>
    <n v="1"/>
    <m/>
    <n v="414110"/>
  </r>
  <r>
    <x v="984"/>
    <n v="459460"/>
    <x v="1"/>
    <s v="  "/>
    <n v="9"/>
    <s v="באר שבע, נווה נוי"/>
    <x v="2"/>
    <d v="2014-01-13T00:00:00"/>
    <x v="2"/>
    <n v="1"/>
    <s v="בש/235/2013"/>
    <x v="2"/>
    <n v="1"/>
    <m/>
    <n v="415712"/>
  </r>
  <r>
    <x v="985"/>
    <n v="350812"/>
    <x v="1"/>
    <s v="  "/>
    <n v="36"/>
    <s v="באר שבע, רמות"/>
    <x v="2"/>
    <d v="2014-11-16T00:00:00"/>
    <x v="2"/>
    <n v="11"/>
    <s v="בש/238/2014"/>
    <x v="2"/>
    <n v="1"/>
    <m/>
    <n v="416188"/>
  </r>
  <r>
    <x v="986"/>
    <n v="411805"/>
    <x v="1"/>
    <s v="  "/>
    <n v="50"/>
    <s v="באר שבע, רמות"/>
    <x v="2"/>
    <d v="2014-11-16T00:00:00"/>
    <x v="2"/>
    <n v="11"/>
    <s v="בש/238/2014"/>
    <x v="2"/>
    <n v="1"/>
    <m/>
    <n v="423000"/>
  </r>
  <r>
    <x v="987"/>
    <n v="350812"/>
    <x v="1"/>
    <s v="  "/>
    <n v="35"/>
    <s v="באר שבע, רמות"/>
    <x v="2"/>
    <d v="2014-11-16T00:00:00"/>
    <x v="2"/>
    <n v="11"/>
    <s v="בש/238/2014"/>
    <x v="2"/>
    <n v="1"/>
    <m/>
    <n v="427762"/>
  </r>
  <r>
    <x v="988"/>
    <n v="403228"/>
    <x v="1"/>
    <s v="  "/>
    <n v="102"/>
    <s v="באר שבע, נווה נוי"/>
    <x v="2"/>
    <d v="2014-01-13T00:00:00"/>
    <x v="2"/>
    <n v="1"/>
    <s v="בש/235/2013"/>
    <x v="2"/>
    <n v="1"/>
    <m/>
    <n v="447000"/>
  </r>
  <r>
    <x v="989"/>
    <n v="360093"/>
    <x v="1"/>
    <s v="  "/>
    <n v="11"/>
    <s v="באר שבע, רמות"/>
    <x v="2"/>
    <d v="2014-11-16T00:00:00"/>
    <x v="2"/>
    <n v="11"/>
    <s v="בש/238/2014"/>
    <x v="2"/>
    <n v="1"/>
    <m/>
    <n v="455000"/>
  </r>
  <r>
    <x v="22"/>
    <n v="397883"/>
    <x v="1"/>
    <s v="  "/>
    <n v="18"/>
    <s v="באר שבע, רמות"/>
    <x v="2"/>
    <d v="2014-11-16T00:00:00"/>
    <x v="2"/>
    <n v="11"/>
    <s v="בש/238/2014"/>
    <x v="2"/>
    <n v="1"/>
    <m/>
    <n v="460000"/>
  </r>
  <r>
    <x v="990"/>
    <n v="350812"/>
    <x v="1"/>
    <s v="  "/>
    <n v="31"/>
    <s v="באר שבע, רמות"/>
    <x v="2"/>
    <d v="2014-11-16T00:00:00"/>
    <x v="2"/>
    <n v="11"/>
    <s v="בש/238/2014"/>
    <x v="2"/>
    <n v="1"/>
    <m/>
    <n v="462300"/>
  </r>
  <r>
    <x v="991"/>
    <n v="503041"/>
    <x v="1"/>
    <s v="  "/>
    <n v="158"/>
    <s v="באר שבע, נווה נוי"/>
    <x v="2"/>
    <d v="2014-01-13T00:00:00"/>
    <x v="2"/>
    <n v="1"/>
    <s v="בש/235/2013"/>
    <x v="2"/>
    <n v="1"/>
    <m/>
    <n v="463524"/>
  </r>
  <r>
    <x v="992"/>
    <n v="354790"/>
    <x v="1"/>
    <s v="  "/>
    <n v="40"/>
    <s v="באר שבע, רמות"/>
    <x v="2"/>
    <d v="2014-11-16T00:00:00"/>
    <x v="2"/>
    <n v="11"/>
    <s v="בש/238/2014"/>
    <x v="2"/>
    <n v="1"/>
    <m/>
    <n v="479550"/>
  </r>
  <r>
    <x v="993"/>
    <n v="368049"/>
    <x v="1"/>
    <s v="  "/>
    <n v="2"/>
    <s v="באר שבע, רמות"/>
    <x v="2"/>
    <d v="2014-11-16T00:00:00"/>
    <x v="2"/>
    <n v="11"/>
    <s v="בש/238/2014"/>
    <x v="2"/>
    <n v="1"/>
    <m/>
    <n v="480000"/>
  </r>
  <r>
    <x v="994"/>
    <n v="350812"/>
    <x v="1"/>
    <s v="  "/>
    <n v="32"/>
    <s v="באר שבע, רמות"/>
    <x v="2"/>
    <d v="2014-11-16T00:00:00"/>
    <x v="2"/>
    <n v="11"/>
    <s v="בש/238/2014"/>
    <x v="2"/>
    <n v="1"/>
    <m/>
    <n v="483483"/>
  </r>
  <r>
    <x v="995"/>
    <n v="488709"/>
    <x v="1"/>
    <s v="  "/>
    <n v="24"/>
    <s v="באר שבע, רמות"/>
    <x v="2"/>
    <d v="2014-11-16T00:00:00"/>
    <x v="2"/>
    <n v="11"/>
    <s v="בש/238/2014"/>
    <x v="2"/>
    <n v="1"/>
    <m/>
    <n v="485052"/>
  </r>
  <r>
    <x v="996"/>
    <n v="350812"/>
    <x v="1"/>
    <s v="  "/>
    <n v="39"/>
    <s v="באר שבע, רמות"/>
    <x v="2"/>
    <d v="2014-11-16T00:00:00"/>
    <x v="2"/>
    <n v="11"/>
    <s v="בש/238/2014"/>
    <x v="2"/>
    <n v="1"/>
    <m/>
    <n v="490000"/>
  </r>
  <r>
    <x v="997"/>
    <n v="458811"/>
    <x v="1"/>
    <s v="  "/>
    <n v="1196"/>
    <s v="באר שבע, כלניות"/>
    <x v="2"/>
    <d v="2016-06-27T00:00:00"/>
    <x v="1"/>
    <n v="6"/>
    <s v="בש/256/2015"/>
    <x v="1"/>
    <n v="1"/>
    <m/>
    <n v="490050"/>
  </r>
  <r>
    <x v="998"/>
    <n v="398546"/>
    <x v="1"/>
    <s v="  "/>
    <n v="25"/>
    <s v="באר שבע, רמות"/>
    <x v="2"/>
    <d v="2014-11-16T00:00:00"/>
    <x v="2"/>
    <n v="11"/>
    <s v="בש/238/2014"/>
    <x v="2"/>
    <n v="1"/>
    <m/>
    <n v="492000"/>
  </r>
  <r>
    <x v="999"/>
    <n v="509924"/>
    <x v="1"/>
    <s v="  "/>
    <n v="48"/>
    <s v="באר שבע, רמות"/>
    <x v="2"/>
    <d v="2014-11-16T00:00:00"/>
    <x v="2"/>
    <n v="11"/>
    <s v="בש/238/2014"/>
    <x v="2"/>
    <n v="1"/>
    <m/>
    <n v="493000"/>
  </r>
  <r>
    <x v="1000"/>
    <n v="522056"/>
    <x v="2"/>
    <s v="  "/>
    <n v="203"/>
    <s v="באר שבע, עמק שרה"/>
    <x v="2"/>
    <d v="2014-06-29T00:00:00"/>
    <x v="2"/>
    <n v="6"/>
    <s v="בש/71/2014"/>
    <x v="2"/>
    <m/>
    <n v="2135"/>
    <n v="495424"/>
  </r>
  <r>
    <x v="1001"/>
    <n v="315012"/>
    <x v="1"/>
    <s v="  "/>
    <n v="15"/>
    <s v="באר שבע, רמות"/>
    <x v="2"/>
    <d v="2014-11-16T00:00:00"/>
    <x v="2"/>
    <n v="11"/>
    <s v="בש/238/2014"/>
    <x v="2"/>
    <n v="1"/>
    <m/>
    <n v="495753"/>
  </r>
  <r>
    <x v="1002"/>
    <n v="401909"/>
    <x v="1"/>
    <s v="  "/>
    <n v="124"/>
    <s v="באר שבע, נווה נוי"/>
    <x v="2"/>
    <d v="2014-01-13T00:00:00"/>
    <x v="2"/>
    <n v="1"/>
    <s v="בש/235/2013"/>
    <x v="2"/>
    <n v="1"/>
    <m/>
    <n v="501000"/>
  </r>
  <r>
    <x v="1003"/>
    <n v="399872"/>
    <x v="1"/>
    <s v="  "/>
    <n v="27"/>
    <s v="באר שבע, רמות"/>
    <x v="2"/>
    <d v="2014-11-16T00:00:00"/>
    <x v="2"/>
    <n v="11"/>
    <s v="בש/238/2014"/>
    <x v="2"/>
    <n v="1"/>
    <m/>
    <n v="510713"/>
  </r>
  <r>
    <x v="1004"/>
    <n v="447198"/>
    <x v="1"/>
    <s v="  "/>
    <n v="108"/>
    <s v="באר שבע, נווה נוי"/>
    <x v="2"/>
    <d v="2014-01-13T00:00:00"/>
    <x v="2"/>
    <n v="1"/>
    <s v="בש/235/2013"/>
    <x v="2"/>
    <n v="1"/>
    <m/>
    <n v="513000"/>
  </r>
  <r>
    <x v="1005"/>
    <n v="468492"/>
    <x v="1"/>
    <s v="  "/>
    <n v="1155"/>
    <s v="באר שבע, כלניות"/>
    <x v="2"/>
    <d v="2016-06-27T00:00:00"/>
    <x v="1"/>
    <n v="6"/>
    <s v="בש/256/2015"/>
    <x v="1"/>
    <n v="1"/>
    <m/>
    <n v="515750"/>
  </r>
  <r>
    <x v="1006"/>
    <n v="359430"/>
    <x v="1"/>
    <s v="  "/>
    <n v="9"/>
    <s v="באר שבע, רמות"/>
    <x v="2"/>
    <d v="2014-11-16T00:00:00"/>
    <x v="2"/>
    <n v="11"/>
    <s v="בש/238/2014"/>
    <x v="2"/>
    <n v="1"/>
    <m/>
    <n v="516450"/>
  </r>
  <r>
    <x v="1007"/>
    <n v="341530"/>
    <x v="1"/>
    <s v="  "/>
    <n v="16"/>
    <s v="באר שבע, רמות"/>
    <x v="2"/>
    <d v="2014-11-16T00:00:00"/>
    <x v="2"/>
    <n v="11"/>
    <s v="בש/238/2014"/>
    <x v="2"/>
    <n v="1"/>
    <m/>
    <n v="522432"/>
  </r>
  <r>
    <x v="1008"/>
    <n v="354127"/>
    <x v="1"/>
    <s v="  "/>
    <n v="30"/>
    <s v="באר שבע, רמות"/>
    <x v="2"/>
    <d v="2014-11-16T00:00:00"/>
    <x v="2"/>
    <n v="11"/>
    <s v="בש/238/2014"/>
    <x v="2"/>
    <n v="1"/>
    <m/>
    <n v="524000"/>
  </r>
  <r>
    <x v="1009"/>
    <n v="350812"/>
    <x v="1"/>
    <s v="  "/>
    <n v="33"/>
    <s v="באר שבע, רמות"/>
    <x v="2"/>
    <d v="2014-11-16T00:00:00"/>
    <x v="2"/>
    <n v="11"/>
    <s v="בש/238/2014"/>
    <x v="2"/>
    <n v="1"/>
    <m/>
    <n v="525100"/>
  </r>
  <r>
    <x v="1010"/>
    <n v="398546"/>
    <x v="1"/>
    <s v="  "/>
    <n v="26"/>
    <s v="באר שבע, רמות"/>
    <x v="2"/>
    <d v="2014-11-16T00:00:00"/>
    <x v="2"/>
    <n v="11"/>
    <s v="בש/238/2014"/>
    <x v="2"/>
    <n v="1"/>
    <m/>
    <n v="525555"/>
  </r>
  <r>
    <x v="1011"/>
    <n v="475897"/>
    <x v="1"/>
    <s v="  "/>
    <n v="1532"/>
    <s v="באר שבע, כלניות"/>
    <x v="2"/>
    <d v="2016-06-27T00:00:00"/>
    <x v="1"/>
    <n v="6"/>
    <s v="בש/256/2015"/>
    <x v="1"/>
    <n v="1"/>
    <m/>
    <n v="527889"/>
  </r>
  <r>
    <x v="1012"/>
    <n v="350812"/>
    <x v="1"/>
    <s v="  "/>
    <n v="38"/>
    <s v="באר שבע, רמות"/>
    <x v="2"/>
    <d v="2014-11-16T00:00:00"/>
    <x v="2"/>
    <n v="11"/>
    <s v="בש/238/2014"/>
    <x v="2"/>
    <n v="1"/>
    <m/>
    <n v="532000"/>
  </r>
  <r>
    <x v="1013"/>
    <n v="520723"/>
    <x v="1"/>
    <s v="  "/>
    <n v="1254"/>
    <s v="באר שבע, כלניות"/>
    <x v="2"/>
    <d v="2016-06-27T00:00:00"/>
    <x v="1"/>
    <n v="6"/>
    <s v="בש/256/2015"/>
    <x v="1"/>
    <n v="1"/>
    <m/>
    <n v="542800"/>
  </r>
  <r>
    <x v="1014"/>
    <n v="475897"/>
    <x v="1"/>
    <s v="  "/>
    <n v="1533"/>
    <s v="באר שבע, כלניות"/>
    <x v="2"/>
    <d v="2016-06-27T00:00:00"/>
    <x v="1"/>
    <n v="6"/>
    <s v="בש/256/2015"/>
    <x v="1"/>
    <n v="1"/>
    <m/>
    <n v="557620"/>
  </r>
  <r>
    <x v="1015"/>
    <n v="350812"/>
    <x v="1"/>
    <s v="  "/>
    <n v="37"/>
    <s v="באר שבע, רמות"/>
    <x v="2"/>
    <d v="2014-11-16T00:00:00"/>
    <x v="2"/>
    <n v="11"/>
    <s v="בש/238/2014"/>
    <x v="2"/>
    <n v="1"/>
    <m/>
    <n v="558634"/>
  </r>
  <r>
    <x v="1016"/>
    <n v="350812"/>
    <x v="1"/>
    <s v="  "/>
    <n v="34"/>
    <s v="באר שבע, רמות"/>
    <x v="2"/>
    <d v="2014-11-16T00:00:00"/>
    <x v="2"/>
    <n v="11"/>
    <s v="בש/238/2014"/>
    <x v="2"/>
    <n v="1"/>
    <m/>
    <n v="559990"/>
  </r>
  <r>
    <x v="1017"/>
    <n v="452246"/>
    <x v="1"/>
    <s v="  "/>
    <n v="3"/>
    <s v="באר שבע, רמות"/>
    <x v="2"/>
    <d v="2014-11-16T00:00:00"/>
    <x v="2"/>
    <n v="11"/>
    <s v="בש/238/2014"/>
    <x v="2"/>
    <n v="1"/>
    <m/>
    <n v="568608"/>
  </r>
  <r>
    <x v="1018"/>
    <n v="525849"/>
    <x v="1"/>
    <s v="  "/>
    <n v="1102"/>
    <s v="באר שבע, כלניות"/>
    <x v="2"/>
    <d v="2016-06-27T00:00:00"/>
    <x v="1"/>
    <n v="6"/>
    <s v="בש/256/2015"/>
    <x v="1"/>
    <n v="1"/>
    <m/>
    <n v="573371"/>
  </r>
  <r>
    <x v="1019"/>
    <n v="460202"/>
    <x v="1"/>
    <s v="  "/>
    <n v="42"/>
    <s v="באר שבע, רמות"/>
    <x v="2"/>
    <d v="2014-11-16T00:00:00"/>
    <x v="2"/>
    <n v="11"/>
    <s v="בש/238/2014"/>
    <x v="2"/>
    <n v="1"/>
    <m/>
    <n v="574321"/>
  </r>
  <r>
    <x v="1020"/>
    <n v="348160"/>
    <x v="1"/>
    <s v="  "/>
    <n v="14"/>
    <s v="באר שבע, רמות"/>
    <x v="2"/>
    <d v="2014-11-16T00:00:00"/>
    <x v="2"/>
    <n v="11"/>
    <s v="בש/238/2014"/>
    <x v="2"/>
    <n v="1"/>
    <m/>
    <n v="577358"/>
  </r>
  <r>
    <x v="39"/>
    <n v="359430"/>
    <x v="1"/>
    <s v="  "/>
    <n v="10"/>
    <s v="באר שבע, רמות"/>
    <x v="2"/>
    <d v="2014-11-16T00:00:00"/>
    <x v="2"/>
    <n v="11"/>
    <s v="בש/238/2014"/>
    <x v="2"/>
    <n v="1"/>
    <m/>
    <n v="580000"/>
  </r>
  <r>
    <x v="1021"/>
    <n v="541796"/>
    <x v="1"/>
    <s v="  "/>
    <n v="1235"/>
    <s v="באר שבע, כלניות"/>
    <x v="2"/>
    <d v="2016-06-27T00:00:00"/>
    <x v="1"/>
    <n v="6"/>
    <s v="בש/256/2015"/>
    <x v="1"/>
    <n v="1"/>
    <m/>
    <n v="581000"/>
  </r>
  <r>
    <x v="1022"/>
    <n v="428379"/>
    <x v="1"/>
    <s v="  "/>
    <n v="17"/>
    <s v="באר שבע, רמות"/>
    <x v="2"/>
    <d v="2014-11-16T00:00:00"/>
    <x v="2"/>
    <n v="11"/>
    <s v="בש/238/2014"/>
    <x v="2"/>
    <n v="1"/>
    <m/>
    <n v="583577"/>
  </r>
  <r>
    <x v="1023"/>
    <n v="525173"/>
    <x v="1"/>
    <s v="  "/>
    <n v="45"/>
    <s v="באר שבע, רמות"/>
    <x v="2"/>
    <d v="2014-11-16T00:00:00"/>
    <x v="2"/>
    <n v="11"/>
    <s v="בש/238/2014"/>
    <x v="2"/>
    <n v="1"/>
    <m/>
    <n v="590000"/>
  </r>
  <r>
    <x v="1024"/>
    <n v="546921"/>
    <x v="1"/>
    <s v="  "/>
    <n v="1180"/>
    <s v="באר שבע, כלניות"/>
    <x v="2"/>
    <d v="2016-06-27T00:00:00"/>
    <x v="1"/>
    <n v="6"/>
    <s v="בש/256/2015"/>
    <x v="1"/>
    <n v="1"/>
    <m/>
    <n v="594189"/>
  </r>
  <r>
    <x v="1025"/>
    <n v="538378"/>
    <x v="1"/>
    <s v="  "/>
    <n v="1575"/>
    <s v="באר שבע, כלניות"/>
    <x v="2"/>
    <d v="2016-06-27T00:00:00"/>
    <x v="1"/>
    <n v="6"/>
    <s v="בש/256/2015"/>
    <x v="1"/>
    <n v="1"/>
    <m/>
    <n v="595000"/>
  </r>
  <r>
    <x v="1026"/>
    <n v="397883"/>
    <x v="1"/>
    <s v="  "/>
    <n v="12"/>
    <s v="באר שבע, רמות"/>
    <x v="2"/>
    <d v="2014-11-16T00:00:00"/>
    <x v="2"/>
    <n v="11"/>
    <s v="בש/238/2014"/>
    <x v="2"/>
    <n v="1"/>
    <m/>
    <n v="595890"/>
  </r>
  <r>
    <x v="42"/>
    <n v="546921"/>
    <x v="1"/>
    <s v="  "/>
    <n v="1077"/>
    <s v="באר שבע, כלניות"/>
    <x v="2"/>
    <d v="2016-06-27T00:00:00"/>
    <x v="1"/>
    <n v="6"/>
    <s v="בש/256/2015"/>
    <x v="1"/>
    <n v="1"/>
    <m/>
    <n v="600000"/>
  </r>
  <r>
    <x v="1027"/>
    <n v="390590"/>
    <x v="1"/>
    <s v="  "/>
    <n v="21"/>
    <s v="באר שבע, רמות"/>
    <x v="2"/>
    <d v="2014-11-16T00:00:00"/>
    <x v="2"/>
    <n v="11"/>
    <s v="בש/238/2014"/>
    <x v="2"/>
    <n v="1"/>
    <m/>
    <n v="601195"/>
  </r>
  <r>
    <x v="1028"/>
    <n v="397883"/>
    <x v="1"/>
    <s v="  "/>
    <n v="41"/>
    <s v="באר שבע, רמות"/>
    <x v="2"/>
    <d v="2014-11-16T00:00:00"/>
    <x v="2"/>
    <n v="11"/>
    <s v="בש/238/2014"/>
    <x v="2"/>
    <n v="1"/>
    <m/>
    <n v="605000"/>
  </r>
  <r>
    <x v="45"/>
    <n v="503958"/>
    <x v="1"/>
    <s v="  "/>
    <n v="46"/>
    <s v="באר שבע, רמות"/>
    <x v="2"/>
    <d v="2014-11-16T00:00:00"/>
    <x v="2"/>
    <n v="11"/>
    <s v="בש/238/2014"/>
    <x v="2"/>
    <n v="1"/>
    <m/>
    <n v="610000"/>
  </r>
  <r>
    <x v="1029"/>
    <n v="376668"/>
    <x v="1"/>
    <s v="  "/>
    <n v="8"/>
    <s v="באר שבע, רמות"/>
    <x v="2"/>
    <d v="2014-11-16T00:00:00"/>
    <x v="2"/>
    <n v="11"/>
    <s v="בש/238/2014"/>
    <x v="2"/>
    <n v="1"/>
    <m/>
    <n v="613026"/>
  </r>
  <r>
    <x v="1030"/>
    <n v="390590"/>
    <x v="1"/>
    <s v="  "/>
    <n v="13"/>
    <s v="באר שבע, רמות"/>
    <x v="2"/>
    <d v="2014-11-16T00:00:00"/>
    <x v="2"/>
    <n v="11"/>
    <s v="בש/238/2014"/>
    <x v="2"/>
    <n v="1"/>
    <m/>
    <n v="616000"/>
  </r>
  <r>
    <x v="1031"/>
    <n v="502632"/>
    <x v="1"/>
    <s v="  "/>
    <n v="49"/>
    <s v="באר שבע, רמות"/>
    <x v="2"/>
    <d v="2014-11-16T00:00:00"/>
    <x v="2"/>
    <n v="11"/>
    <s v="בש/238/2014"/>
    <x v="2"/>
    <n v="1"/>
    <m/>
    <n v="621001"/>
  </r>
  <r>
    <x v="1032"/>
    <n v="455561"/>
    <x v="1"/>
    <s v="  "/>
    <n v="6"/>
    <s v="באר שבע, רמות"/>
    <x v="2"/>
    <d v="2014-11-16T00:00:00"/>
    <x v="2"/>
    <n v="11"/>
    <s v="בש/238/2014"/>
    <x v="2"/>
    <n v="1"/>
    <m/>
    <n v="641001"/>
  </r>
  <r>
    <x v="1033"/>
    <n v="560973"/>
    <x v="1"/>
    <s v="  "/>
    <n v="47"/>
    <s v="באר שבע, רמות"/>
    <x v="2"/>
    <d v="2014-11-16T00:00:00"/>
    <x v="2"/>
    <n v="11"/>
    <s v="בש/238/2014"/>
    <x v="2"/>
    <n v="1"/>
    <m/>
    <n v="645000"/>
  </r>
  <r>
    <x v="1034"/>
    <n v="408490"/>
    <x v="1"/>
    <s v="  "/>
    <n v="5"/>
    <s v="באר שבע, רמות"/>
    <x v="2"/>
    <d v="2014-11-16T00:00:00"/>
    <x v="2"/>
    <n v="11"/>
    <s v="בש/238/2014"/>
    <x v="2"/>
    <n v="1"/>
    <m/>
    <n v="645780"/>
  </r>
  <r>
    <x v="1035"/>
    <n v="550338"/>
    <x v="1"/>
    <s v="  "/>
    <n v="1085"/>
    <s v="באר שבע, כלניות"/>
    <x v="2"/>
    <d v="2016-06-27T00:00:00"/>
    <x v="1"/>
    <n v="6"/>
    <s v="בש/256/2015"/>
    <x v="1"/>
    <n v="1"/>
    <m/>
    <n v="650000"/>
  </r>
  <r>
    <x v="1036"/>
    <n v="377331"/>
    <x v="1"/>
    <s v="  "/>
    <n v="7"/>
    <s v="באר שבע, רמות"/>
    <x v="2"/>
    <d v="2014-11-16T00:00:00"/>
    <x v="2"/>
    <n v="11"/>
    <s v="בש/238/2014"/>
    <x v="2"/>
    <n v="1"/>
    <m/>
    <n v="652055"/>
  </r>
  <r>
    <x v="1037"/>
    <n v="375342"/>
    <x v="1"/>
    <s v="  "/>
    <n v="1"/>
    <s v="באר שבע, רמות"/>
    <x v="2"/>
    <d v="2014-11-16T00:00:00"/>
    <x v="2"/>
    <n v="11"/>
    <s v="בש/238/2014"/>
    <x v="2"/>
    <n v="1"/>
    <m/>
    <n v="657126"/>
  </r>
  <r>
    <x v="1038"/>
    <n v="429705"/>
    <x v="1"/>
    <s v="  "/>
    <n v="28"/>
    <s v="באר שבע, רמות"/>
    <x v="2"/>
    <d v="2014-11-16T00:00:00"/>
    <x v="2"/>
    <n v="11"/>
    <s v="בש/238/2014"/>
    <x v="2"/>
    <n v="1"/>
    <m/>
    <n v="661001"/>
  </r>
  <r>
    <x v="1039"/>
    <n v="429042"/>
    <x v="1"/>
    <s v="  "/>
    <n v="4"/>
    <s v="באר שבע, רמות"/>
    <x v="2"/>
    <d v="2014-11-16T00:00:00"/>
    <x v="2"/>
    <n v="11"/>
    <s v="בש/238/2014"/>
    <x v="2"/>
    <n v="1"/>
    <m/>
    <n v="664673"/>
  </r>
  <r>
    <x v="1040"/>
    <n v="436998"/>
    <x v="1"/>
    <s v="  "/>
    <n v="29"/>
    <s v="באר שבע, רמות"/>
    <x v="2"/>
    <d v="2014-11-16T00:00:00"/>
    <x v="2"/>
    <n v="11"/>
    <s v="בש/238/2014"/>
    <x v="2"/>
    <n v="1"/>
    <m/>
    <n v="667001"/>
  </r>
  <r>
    <x v="1041"/>
    <n v="383297"/>
    <x v="1"/>
    <s v="  "/>
    <n v="20"/>
    <s v="באר שבע, רמות"/>
    <x v="2"/>
    <d v="2014-11-16T00:00:00"/>
    <x v="2"/>
    <n v="11"/>
    <s v="בש/238/2014"/>
    <x v="2"/>
    <n v="1"/>
    <m/>
    <n v="672520"/>
  </r>
  <r>
    <x v="1042"/>
    <n v="424334"/>
    <x v="1"/>
    <s v="  "/>
    <n v="110"/>
    <s v="באר שבע, נווה נוי"/>
    <x v="2"/>
    <d v="2014-01-13T00:00:00"/>
    <x v="2"/>
    <n v="1"/>
    <s v="בש/235/2013"/>
    <x v="2"/>
    <n v="1"/>
    <m/>
    <n v="678777"/>
  </r>
  <r>
    <x v="1043"/>
    <n v="403186"/>
    <x v="1"/>
    <s v="  "/>
    <n v="19"/>
    <s v="באר שבע, רמות"/>
    <x v="2"/>
    <d v="2014-11-16T00:00:00"/>
    <x v="2"/>
    <n v="11"/>
    <s v="בש/238/2014"/>
    <x v="2"/>
    <n v="1"/>
    <m/>
    <n v="681001"/>
  </r>
  <r>
    <x v="1044"/>
    <n v="342375"/>
    <x v="1"/>
    <s v="  "/>
    <n v="30"/>
    <s v="באר שבע, רמות"/>
    <x v="2"/>
    <d v="2016-01-24T00:00:00"/>
    <x v="1"/>
    <n v="1"/>
    <s v="בש/255/2015"/>
    <x v="2"/>
    <n v="1"/>
    <n v="515"/>
    <n v="691000"/>
  </r>
  <r>
    <x v="1045"/>
    <n v="474124"/>
    <x v="1"/>
    <s v="  "/>
    <n v="23"/>
    <s v="באר שבע, רמות"/>
    <x v="2"/>
    <d v="2014-11-16T00:00:00"/>
    <x v="2"/>
    <n v="11"/>
    <s v="בש/238/2014"/>
    <x v="2"/>
    <n v="1"/>
    <m/>
    <n v="726126"/>
  </r>
  <r>
    <x v="1046"/>
    <n v="524510"/>
    <x v="1"/>
    <s v="  "/>
    <n v="44"/>
    <s v="באר שבע, רמות"/>
    <x v="2"/>
    <d v="2014-11-16T00:00:00"/>
    <x v="2"/>
    <n v="11"/>
    <s v="בש/238/2014"/>
    <x v="2"/>
    <n v="1"/>
    <m/>
    <n v="745139"/>
  </r>
  <r>
    <x v="1047"/>
    <n v="379320"/>
    <x v="1"/>
    <s v="  "/>
    <n v="22"/>
    <s v="באר שבע, רמות"/>
    <x v="2"/>
    <d v="2014-11-16T00:00:00"/>
    <x v="2"/>
    <n v="11"/>
    <s v="בש/238/2014"/>
    <x v="2"/>
    <n v="1"/>
    <m/>
    <n v="747330"/>
  </r>
  <r>
    <x v="1048"/>
    <n v="6957375"/>
    <x v="0"/>
    <s v="  "/>
    <n v="3"/>
    <s v="באר שבע, נווה נוי"/>
    <x v="2"/>
    <d v="2014-01-05T00:00:00"/>
    <x v="2"/>
    <n v="1"/>
    <s v="בש/234/2013"/>
    <x v="2"/>
    <n v="36"/>
    <n v="7405"/>
    <n v="950260"/>
  </r>
  <r>
    <x v="127"/>
    <n v="5712597"/>
    <x v="2"/>
    <s v="  "/>
    <n v="800"/>
    <s v="באר שבע, פלח 7"/>
    <x v="2"/>
    <d v="2014-10-27T00:00:00"/>
    <x v="2"/>
    <n v="10"/>
    <s v="בש/91/2014"/>
    <x v="2"/>
    <m/>
    <n v="5005"/>
    <n v="1126000"/>
  </r>
  <r>
    <x v="1049"/>
    <n v="1171833"/>
    <x v="0"/>
    <s v="  "/>
    <n v="1"/>
    <s v="באר שבע, נווה נוי"/>
    <x v="2"/>
    <d v="2014-03-23T00:00:00"/>
    <x v="2"/>
    <n v="3"/>
    <s v="בש/365/2013"/>
    <x v="2"/>
    <n v="4"/>
    <n v="1230"/>
    <n v="1130100"/>
  </r>
  <r>
    <x v="1050"/>
    <n v="9362760"/>
    <x v="0"/>
    <s v="  "/>
    <n v="35353"/>
    <s v="באר שבע, נווה מנחם ב'"/>
    <x v="2"/>
    <d v="2015-04-15T00:00:00"/>
    <x v="3"/>
    <n v="4"/>
    <s v="בש/334/2014"/>
    <x v="1"/>
    <n v="24"/>
    <n v="8726"/>
    <n v="1178500"/>
  </r>
  <r>
    <x v="132"/>
    <n v="6045837"/>
    <x v="0"/>
    <s v="  "/>
    <n v="24636"/>
    <s v="באר שבע, רמות ב' (הרכס)"/>
    <x v="2"/>
    <d v="2014-07-06T00:00:00"/>
    <x v="2"/>
    <n v="7"/>
    <s v="בש/58/2014"/>
    <x v="2"/>
    <n v="30"/>
    <n v="5854"/>
    <n v="1800000"/>
  </r>
  <r>
    <x v="1051"/>
    <n v="6200260"/>
    <x v="0"/>
    <s v="  "/>
    <n v="24637"/>
    <s v="באר שבע, רמות ב' (הרכס)"/>
    <x v="2"/>
    <d v="2014-07-06T00:00:00"/>
    <x v="2"/>
    <n v="7"/>
    <s v="בש/58/2014"/>
    <x v="2"/>
    <n v="32"/>
    <n v="5842"/>
    <n v="1810000"/>
  </r>
  <r>
    <x v="1052"/>
    <n v="8989766"/>
    <x v="0"/>
    <s v="  "/>
    <n v="24632"/>
    <s v="באר שבע, רמות ב' (הרכס)"/>
    <x v="2"/>
    <d v="2014-07-06T00:00:00"/>
    <x v="2"/>
    <n v="7"/>
    <s v="בש/58/2014"/>
    <x v="2"/>
    <n v="44"/>
    <n v="9932"/>
    <n v="2305600"/>
  </r>
  <r>
    <x v="1053"/>
    <n v="3424159"/>
    <x v="0"/>
    <s v="  "/>
    <n v="34854"/>
    <s v="באר שבע, נווה זאב פלח 05"/>
    <x v="2"/>
    <d v="2014-11-02T00:00:00"/>
    <x v="2"/>
    <n v="11"/>
    <s v="בש/141/2014"/>
    <x v="1"/>
    <n v="28"/>
    <n v="2569"/>
    <n v="2468000"/>
  </r>
  <r>
    <x v="1054"/>
    <n v="5130876"/>
    <x v="0"/>
    <s v="  "/>
    <n v="34855"/>
    <s v="באר שבע, פלח 5 נווה זאב"/>
    <x v="2"/>
    <d v="2014-09-28T00:00:00"/>
    <x v="2"/>
    <n v="9"/>
    <s v="בש/197/2014"/>
    <x v="1"/>
    <n v="41"/>
    <n v="3829"/>
    <n v="2531487"/>
  </r>
  <r>
    <x v="1055"/>
    <n v="5169289"/>
    <x v="0"/>
    <s v="  "/>
    <n v="34929"/>
    <s v="באר שבע, שכונת רמות הרכס"/>
    <x v="2"/>
    <d v="2014-09-28T00:00:00"/>
    <x v="2"/>
    <n v="9"/>
    <s v="בש/198/2014"/>
    <x v="2"/>
    <n v="44"/>
    <n v="3217"/>
    <n v="2675226"/>
  </r>
  <r>
    <x v="1056"/>
    <n v="4698611"/>
    <x v="0"/>
    <s v="  "/>
    <n v="34927"/>
    <s v="באר שבע, שכונת רמות הרכס"/>
    <x v="2"/>
    <d v="2014-09-28T00:00:00"/>
    <x v="2"/>
    <n v="9"/>
    <s v="בש/198/2014"/>
    <x v="2"/>
    <n v="41"/>
    <n v="3151"/>
    <n v="2886389"/>
  </r>
  <r>
    <x v="1057"/>
    <n v="7925872"/>
    <x v="0"/>
    <s v="  "/>
    <n v="35351"/>
    <s v="באר שבע, נווה מנחם ב"/>
    <x v="2"/>
    <d v="2015-08-25T00:00:00"/>
    <x v="3"/>
    <n v="8"/>
    <s v="בש/77/2015"/>
    <x v="1"/>
    <n v="20"/>
    <n v="7476"/>
    <n v="2945000"/>
  </r>
  <r>
    <x v="1058"/>
    <n v="11340839"/>
    <x v="0"/>
    <s v="  "/>
    <n v="35352"/>
    <s v="באר שבע, נווה מנחם ב'"/>
    <x v="2"/>
    <d v="2015-04-15T00:00:00"/>
    <x v="3"/>
    <n v="4"/>
    <s v="בש/334/2014"/>
    <x v="1"/>
    <n v="28"/>
    <n v="11023"/>
    <n v="3042255"/>
  </r>
  <r>
    <x v="1059"/>
    <n v="6376077"/>
    <x v="0"/>
    <s v="  "/>
    <n v="22"/>
    <s v="באר שבע, נווה נוי"/>
    <x v="2"/>
    <d v="2014-05-11T00:00:00"/>
    <x v="2"/>
    <n v="5"/>
    <s v="בש/28/2014"/>
    <x v="2"/>
    <n v="28"/>
    <n v="6576"/>
    <n v="3333260"/>
  </r>
  <r>
    <x v="1060"/>
    <n v="2688725"/>
    <x v="0"/>
    <s v="  "/>
    <n v="32375"/>
    <s v="באר שבע, נווה זאב פלח 05"/>
    <x v="2"/>
    <d v="2014-06-08T00:00:00"/>
    <x v="2"/>
    <n v="6"/>
    <s v="בש/354/2013"/>
    <x v="1"/>
    <n v="24"/>
    <n v="2287"/>
    <n v="3350000"/>
  </r>
  <r>
    <x v="1061"/>
    <n v="3220963"/>
    <x v="0"/>
    <s v="  "/>
    <n v="34852"/>
    <s v="באר שבע, נווה זאב פלח 05"/>
    <x v="2"/>
    <d v="2014-11-02T00:00:00"/>
    <x v="2"/>
    <n v="11"/>
    <s v="בש/141/2014"/>
    <x v="1"/>
    <n v="25"/>
    <n v="2943"/>
    <n v="3600000"/>
  </r>
  <r>
    <x v="1062"/>
    <n v="4189952"/>
    <x v="0"/>
    <s v="  "/>
    <n v="34251"/>
    <s v="באר שבע, רמות ב' (הרכס)"/>
    <x v="2"/>
    <d v="2014-07-06T00:00:00"/>
    <x v="2"/>
    <n v="7"/>
    <s v="בש/58/2014"/>
    <x v="2"/>
    <n v="38"/>
    <n v="2602"/>
    <n v="3600048"/>
  </r>
  <r>
    <x v="1063"/>
    <n v="5454929"/>
    <x v="0"/>
    <s v="  "/>
    <n v="5"/>
    <s v="באר שבע, נווה נוי"/>
    <x v="2"/>
    <d v="2014-01-05T00:00:00"/>
    <x v="2"/>
    <n v="1"/>
    <s v="בש/234/2013"/>
    <x v="2"/>
    <n v="18"/>
    <n v="5995"/>
    <n v="3920000"/>
  </r>
  <r>
    <x v="1064"/>
    <n v="11832090"/>
    <x v="0"/>
    <s v="  "/>
    <n v="32720"/>
    <s v="באר שבע, נווה מנחם ב'"/>
    <x v="2"/>
    <d v="2016-05-03T00:00:00"/>
    <x v="1"/>
    <n v="5"/>
    <s v="בש/319/2015"/>
    <x v="1"/>
    <n v="30"/>
    <n v="7822"/>
    <n v="4100000"/>
  </r>
  <r>
    <x v="1065"/>
    <n v="2747320"/>
    <x v="0"/>
    <s v="  "/>
    <n v="24491"/>
    <s v="באר שבע, שכונת רמות הרכס"/>
    <x v="2"/>
    <d v="2014-09-28T00:00:00"/>
    <x v="2"/>
    <n v="9"/>
    <s v="בש/198/2014"/>
    <x v="2"/>
    <n v="25"/>
    <n v="1758"/>
    <n v="4155000"/>
  </r>
  <r>
    <x v="1066"/>
    <n v="10468916"/>
    <x v="3"/>
    <s v="  "/>
    <n v="132"/>
    <s v="באר שבע, עמק שרה"/>
    <x v="2"/>
    <d v="2016-05-03T00:00:00"/>
    <x v="1"/>
    <n v="5"/>
    <s v="בש/4/2016"/>
    <x v="2"/>
    <m/>
    <n v="41413"/>
    <n v="4182298"/>
  </r>
  <r>
    <x v="1067"/>
    <n v="3770313"/>
    <x v="0"/>
    <s v="  "/>
    <n v="1"/>
    <s v="באר שבע, נווה נוי"/>
    <x v="2"/>
    <d v="2014-01-05T00:00:00"/>
    <x v="2"/>
    <n v="1"/>
    <s v="בש/234/2013"/>
    <x v="2"/>
    <n v="16"/>
    <n v="4025"/>
    <n v="4398048"/>
  </r>
  <r>
    <x v="1068"/>
    <n v="7197526"/>
    <x v="0"/>
    <s v="  "/>
    <n v="24625"/>
    <s v="באר שבע, רמות ב' (הרכס)"/>
    <x v="2"/>
    <d v="2014-07-06T00:00:00"/>
    <x v="2"/>
    <n v="7"/>
    <s v="בש/58/2014"/>
    <x v="2"/>
    <n v="68"/>
    <n v="4048"/>
    <n v="4420000"/>
  </r>
  <r>
    <x v="1069"/>
    <n v="4966475"/>
    <x v="0"/>
    <s v="  "/>
    <n v="24487"/>
    <s v="באר שבע, שכונת רמות הרכס"/>
    <x v="2"/>
    <d v="2014-09-28T00:00:00"/>
    <x v="2"/>
    <n v="9"/>
    <s v="בש/198/2014"/>
    <x v="2"/>
    <n v="50"/>
    <n v="2501"/>
    <n v="4540126"/>
  </r>
  <r>
    <x v="1070"/>
    <n v="7109886"/>
    <x v="0"/>
    <s v="  "/>
    <n v="34853"/>
    <s v="באר שבע, נווה זאב פלח 05"/>
    <x v="2"/>
    <d v="2014-11-02T00:00:00"/>
    <x v="2"/>
    <n v="11"/>
    <s v="בש/141/2014"/>
    <x v="1"/>
    <n v="62"/>
    <n v="5005"/>
    <n v="4681274"/>
  </r>
  <r>
    <x v="1071"/>
    <n v="5470254"/>
    <x v="0"/>
    <s v="  "/>
    <n v="34857"/>
    <s v="באר שבע, פלח 5 נווה זאב"/>
    <x v="2"/>
    <d v="2014-09-28T00:00:00"/>
    <x v="2"/>
    <n v="9"/>
    <s v="בש/197/2014"/>
    <x v="1"/>
    <n v="37"/>
    <n v="5336"/>
    <n v="4853000"/>
  </r>
  <r>
    <x v="1072"/>
    <n v="11268272"/>
    <x v="0"/>
    <s v="  "/>
    <n v="32692"/>
    <s v="באר שבע, נווה מנחם ב'"/>
    <x v="2"/>
    <d v="2016-05-03T00:00:00"/>
    <x v="1"/>
    <n v="5"/>
    <s v="בש/319/2015"/>
    <x v="1"/>
    <n v="26"/>
    <n v="8562"/>
    <n v="4875065"/>
  </r>
  <r>
    <x v="1073"/>
    <n v="11139033"/>
    <x v="0"/>
    <s v="  "/>
    <n v="6"/>
    <s v="באר שבע, נווה נוי"/>
    <x v="2"/>
    <d v="2014-01-05T00:00:00"/>
    <x v="2"/>
    <n v="1"/>
    <s v="בש/234/2013"/>
    <x v="2"/>
    <n v="38"/>
    <n v="11802"/>
    <n v="5013113"/>
  </r>
  <r>
    <x v="1074"/>
    <n v="5248785"/>
    <x v="0"/>
    <s v="  "/>
    <n v="24488"/>
    <s v="באר שבע, שכונת רמות הרכס"/>
    <x v="2"/>
    <d v="2014-09-28T00:00:00"/>
    <x v="2"/>
    <n v="9"/>
    <s v="בש/198/2014"/>
    <x v="2"/>
    <n v="48"/>
    <n v="3203"/>
    <n v="5072000"/>
  </r>
  <r>
    <x v="1075"/>
    <n v="3807295"/>
    <x v="0"/>
    <s v="  "/>
    <n v="10287"/>
    <s v="באר שבע, נווה זאב פלח 05"/>
    <x v="2"/>
    <d v="2014-06-08T00:00:00"/>
    <x v="2"/>
    <n v="6"/>
    <s v="בש/354/2013"/>
    <x v="1"/>
    <n v="35"/>
    <n v="3321"/>
    <n v="5108000"/>
  </r>
  <r>
    <x v="1076"/>
    <n v="4704711"/>
    <x v="0"/>
    <s v="  "/>
    <n v="10286"/>
    <s v="באר שבע, נווה זאב פלח 05"/>
    <x v="2"/>
    <d v="2014-06-08T00:00:00"/>
    <x v="2"/>
    <n v="6"/>
    <s v="בש/354/2013"/>
    <x v="1"/>
    <n v="43"/>
    <n v="4157"/>
    <n v="5760289"/>
  </r>
  <r>
    <x v="1077"/>
    <n v="7627539"/>
    <x v="0"/>
    <s v="  "/>
    <n v="10289"/>
    <s v="באר שבע, נווה זאב פלח 05"/>
    <x v="2"/>
    <d v="2014-11-02T00:00:00"/>
    <x v="2"/>
    <n v="11"/>
    <s v="בש/141/2014"/>
    <x v="1"/>
    <n v="53"/>
    <n v="7380"/>
    <n v="5880880"/>
  </r>
  <r>
    <x v="1078"/>
    <n v="9776708"/>
    <x v="0"/>
    <s v="  "/>
    <n v="34928"/>
    <s v="באר שבע, שכונת רמות הרכס"/>
    <x v="2"/>
    <d v="2014-09-28T00:00:00"/>
    <x v="2"/>
    <n v="9"/>
    <s v="בש/198/2014"/>
    <x v="2"/>
    <n v="88"/>
    <n v="5411"/>
    <n v="6060000"/>
  </r>
  <r>
    <x v="1079"/>
    <n v="2187603"/>
    <x v="2"/>
    <s v="  "/>
    <n v="902"/>
    <s v="באר שבע, ו'"/>
    <x v="2"/>
    <d v="2015-07-19T00:00:00"/>
    <x v="3"/>
    <n v="7"/>
    <s v="בש/50/2015"/>
    <x v="2"/>
    <m/>
    <n v="5736"/>
    <n v="6255555"/>
  </r>
  <r>
    <x v="1080"/>
    <n v="4102864"/>
    <x v="0"/>
    <s v="  "/>
    <n v="10288"/>
    <s v="באר שבע, נווה זאב פלח 05"/>
    <x v="2"/>
    <d v="2014-11-02T00:00:00"/>
    <x v="2"/>
    <n v="11"/>
    <s v="בש/141/2014"/>
    <x v="1"/>
    <n v="37"/>
    <n v="3158"/>
    <n v="6455000"/>
  </r>
  <r>
    <x v="1081"/>
    <n v="7007169"/>
    <x v="0"/>
    <s v="  "/>
    <n v="34861"/>
    <s v="באר שבע, פלח 5 נווה זאב"/>
    <x v="2"/>
    <d v="2014-09-28T00:00:00"/>
    <x v="2"/>
    <n v="9"/>
    <s v="בש/197/2014"/>
    <x v="1"/>
    <n v="72"/>
    <n v="2219"/>
    <n v="7255505"/>
  </r>
  <r>
    <x v="1082"/>
    <n v="7522895"/>
    <x v="0"/>
    <s v="  "/>
    <n v="25"/>
    <s v="באר שבע, שכ' נווה נוי"/>
    <x v="2"/>
    <d v="2014-12-29T00:00:00"/>
    <x v="2"/>
    <n v="12"/>
    <s v="בש/264/2014"/>
    <x v="2"/>
    <n v="32"/>
    <n v="7845"/>
    <n v="7699242"/>
  </r>
  <r>
    <x v="1083"/>
    <n v="16100268"/>
    <x v="0"/>
    <s v="  "/>
    <n v="34858"/>
    <s v="באר שבע, פלח 5 נווה זאב"/>
    <x v="2"/>
    <d v="2014-09-28T00:00:00"/>
    <x v="2"/>
    <n v="9"/>
    <s v="בש/197/2014"/>
    <x v="1"/>
    <n v="51"/>
    <n v="13952"/>
    <n v="8001013"/>
  </r>
  <r>
    <x v="1084"/>
    <n v="7450487"/>
    <x v="0"/>
    <s v="  "/>
    <n v="4"/>
    <s v="באר שבע, נווה נוי"/>
    <x v="2"/>
    <d v="2014-01-05T00:00:00"/>
    <x v="2"/>
    <n v="1"/>
    <s v="בש/234/2013"/>
    <x v="2"/>
    <n v="32"/>
    <n v="7845"/>
    <n v="8872470"/>
  </r>
  <r>
    <x v="1085"/>
    <n v="10378575"/>
    <x v="0"/>
    <s v="  "/>
    <n v="34856"/>
    <s v="באר שבע, פלח 5 נווה זאב"/>
    <x v="2"/>
    <d v="2014-09-28T00:00:00"/>
    <x v="2"/>
    <n v="9"/>
    <s v="בש/197/2014"/>
    <x v="1"/>
    <n v="58"/>
    <n v="10308"/>
    <n v="9241000"/>
  </r>
  <r>
    <x v="1086"/>
    <n v="5286934"/>
    <x v="0"/>
    <s v="  "/>
    <n v="10285"/>
    <s v="באר שבע, נווה זאב פלח 05"/>
    <x v="2"/>
    <d v="2014-06-08T00:00:00"/>
    <x v="2"/>
    <n v="6"/>
    <s v="בש/354/2013"/>
    <x v="1"/>
    <n v="48"/>
    <n v="4352"/>
    <n v="9505500"/>
  </r>
  <r>
    <x v="1087"/>
    <n v="7977116"/>
    <x v="0"/>
    <s v="  "/>
    <n v="34860"/>
    <s v="באר שבע, פלח 5 נווה זאב"/>
    <x v="2"/>
    <d v="2014-09-28T00:00:00"/>
    <x v="2"/>
    <n v="9"/>
    <s v="בש/197/2014"/>
    <x v="1"/>
    <n v="92"/>
    <n v="2207"/>
    <n v="10600000"/>
  </r>
  <r>
    <x v="1088"/>
    <n v="4641028"/>
    <x v="0"/>
    <s v="  "/>
    <n v="37306"/>
    <s v="באר שבע, רמות"/>
    <x v="2"/>
    <d v="2016-05-15T00:00:00"/>
    <x v="1"/>
    <n v="5"/>
    <s v="בש/237/2015"/>
    <x v="2"/>
    <n v="22"/>
    <n v="6015"/>
    <n v="12125172"/>
  </r>
  <r>
    <x v="1089"/>
    <n v="9853043"/>
    <x v="0"/>
    <s v="  "/>
    <n v="34859"/>
    <s v="באר שבע, פלח 5 נווה זאב"/>
    <x v="2"/>
    <d v="2014-09-28T00:00:00"/>
    <x v="2"/>
    <n v="9"/>
    <s v="בש/197/2014"/>
    <x v="1"/>
    <n v="116"/>
    <n v="2651"/>
    <n v="13346956"/>
  </r>
  <r>
    <x v="1090"/>
    <n v="9676118"/>
    <x v="0"/>
    <s v="  "/>
    <n v="41624"/>
    <s v="באר שבע, רמות"/>
    <x v="2"/>
    <d v="2016-05-15T00:00:00"/>
    <x v="1"/>
    <n v="5"/>
    <s v="בש/237/2015"/>
    <x v="2"/>
    <n v="47"/>
    <n v="13290"/>
    <n v="22000000"/>
  </r>
  <r>
    <x v="1091"/>
    <n v="8360477"/>
    <x v="0"/>
    <s v="  "/>
    <n v="33562"/>
    <s v="באר שבע, רמות"/>
    <x v="2"/>
    <d v="2016-05-15T00:00:00"/>
    <x v="1"/>
    <n v="5"/>
    <s v="בש/237/2015"/>
    <x v="2"/>
    <n v="47"/>
    <n v="11627"/>
    <n v="24440940"/>
  </r>
  <r>
    <x v="1092"/>
    <n v="33986881"/>
    <x v="0"/>
    <s v="מחיר למשתכן"/>
    <n v="45633"/>
    <s v="באר שבע, הפארק"/>
    <x v="2"/>
    <d v="2017-08-05T00:00:00"/>
    <x v="0"/>
    <n v="8"/>
    <s v="בש/396/2016"/>
    <x v="1"/>
    <n v="176"/>
    <n v="24082"/>
    <n v="-1856800"/>
  </r>
  <r>
    <x v="1093"/>
    <n v="9854726"/>
    <x v="0"/>
    <s v="מחיר למשתכן"/>
    <n v="45634"/>
    <s v="באר שבע, הפארק"/>
    <x v="2"/>
    <d v="2017-08-05T00:00:00"/>
    <x v="0"/>
    <n v="8"/>
    <s v="בש/396/2016"/>
    <x v="1"/>
    <n v="78"/>
    <n v="5126"/>
    <n v="2230800"/>
  </r>
  <r>
    <x v="1094"/>
    <n v="24010101"/>
    <x v="0"/>
    <s v="מחיר למשתכן"/>
    <n v="45644"/>
    <s v="באר שבע, הפארק"/>
    <x v="2"/>
    <d v="2017-08-05T00:00:00"/>
    <x v="0"/>
    <n v="8"/>
    <s v="בש/396/2016"/>
    <x v="1"/>
    <n v="150"/>
    <n v="17014"/>
    <n v="4785000"/>
  </r>
  <r>
    <x v="1095"/>
    <n v="29852261"/>
    <x v="0"/>
    <s v="מחיר למשתכן"/>
    <n v="45645"/>
    <s v="באר שבע, הפארק"/>
    <x v="2"/>
    <d v="2017-08-05T00:00:00"/>
    <x v="0"/>
    <n v="8"/>
    <s v="בש/396/2016"/>
    <x v="1"/>
    <n v="219"/>
    <n v="18427"/>
    <n v="1335900"/>
  </r>
  <r>
    <x v="0"/>
    <n v="32736053"/>
    <x v="0"/>
    <s v="מחיר למשתכן"/>
    <n v="45646"/>
    <s v="באר שבע, הפארק"/>
    <x v="2"/>
    <d v="2017-08-05T00:00:00"/>
    <x v="0"/>
    <n v="8"/>
    <s v="בש/396/2016"/>
    <x v="1"/>
    <n v="200"/>
    <n v="23772"/>
    <s v="אין הצעות למתחם זה"/>
  </r>
  <r>
    <x v="1096"/>
    <n v="26910371"/>
    <x v="0"/>
    <s v="מחיר למשתכן"/>
    <n v="45647"/>
    <s v="באר שבע, הפארק"/>
    <x v="2"/>
    <d v="2017-08-05T00:00:00"/>
    <x v="0"/>
    <n v="8"/>
    <s v="בש/396/2016"/>
    <x v="1"/>
    <n v="161"/>
    <n v="19846"/>
    <n v="4628750"/>
  </r>
  <r>
    <x v="0"/>
    <n v="27352800"/>
    <x v="0"/>
    <s v="מחיר למשתכן"/>
    <n v="45648"/>
    <s v="באר שבע, הפארק"/>
    <x v="2"/>
    <d v="2017-08-05T00:00:00"/>
    <x v="0"/>
    <n v="8"/>
    <s v="בש/396/2016"/>
    <x v="1"/>
    <n v="158"/>
    <n v="20672"/>
    <s v="אין הצעות למתחם זה"/>
  </r>
  <r>
    <x v="0"/>
    <n v="18884061"/>
    <x v="0"/>
    <s v="מחיר למשתכן"/>
    <n v="45649"/>
    <s v="באר שבע, הפארק"/>
    <x v="2"/>
    <d v="2017-08-05T00:00:00"/>
    <x v="0"/>
    <n v="8"/>
    <s v="בש/396/2016"/>
    <x v="1"/>
    <n v="112"/>
    <n v="14013"/>
    <s v="אין הצעות למתחם זה"/>
  </r>
  <r>
    <x v="0"/>
    <n v="8872914"/>
    <x v="0"/>
    <s v="מחיר למשתכן"/>
    <n v="45650"/>
    <s v="באר שבע, הפארק"/>
    <x v="2"/>
    <d v="2017-08-05T00:00:00"/>
    <x v="0"/>
    <n v="8"/>
    <s v="בש/396/2016"/>
    <x v="1"/>
    <n v="53"/>
    <n v="6548"/>
    <s v="אין הצעות למתחם זה"/>
  </r>
  <r>
    <x v="1097"/>
    <n v="12693229"/>
    <x v="0"/>
    <s v="מחיר למשתכן"/>
    <n v="45651"/>
    <s v="באר שבע, הפארק"/>
    <x v="2"/>
    <d v="2017-08-05T00:00:00"/>
    <x v="0"/>
    <n v="8"/>
    <s v="בש/396/2016"/>
    <x v="1"/>
    <n v="74"/>
    <n v="9539"/>
    <s v="המציע זכה במתחם אחר"/>
  </r>
  <r>
    <x v="1097"/>
    <n v="8352429"/>
    <x v="0"/>
    <s v="מחיר למשתכן"/>
    <n v="45652"/>
    <s v="באר שבע, הפארק"/>
    <x v="2"/>
    <d v="2017-08-05T00:00:00"/>
    <x v="0"/>
    <n v="8"/>
    <s v="בש/396/2016"/>
    <x v="1"/>
    <n v="62"/>
    <n v="4731"/>
    <s v="המציע זכה במתחם אחר"/>
  </r>
  <r>
    <x v="1098"/>
    <n v="14554726"/>
    <x v="0"/>
    <s v="מחיר למשתכן"/>
    <n v="45653"/>
    <s v="באר שבע, הפארק"/>
    <x v="2"/>
    <d v="2017-08-05T00:00:00"/>
    <x v="0"/>
    <n v="8"/>
    <s v="בש/396/2016"/>
    <x v="1"/>
    <n v="130"/>
    <n v="6921"/>
    <n v="178750"/>
  </r>
  <r>
    <x v="1099"/>
    <n v="567845"/>
    <x v="1"/>
    <s v="  "/>
    <n v="3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68422"/>
    <x v="1"/>
    <s v="  "/>
    <n v="4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72465"/>
    <x v="1"/>
    <s v="  "/>
    <n v="7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66690"/>
    <x v="1"/>
    <s v="  "/>
    <n v="22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71310"/>
    <x v="1"/>
    <s v="  "/>
    <n v="31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74198"/>
    <x v="1"/>
    <s v="  "/>
    <n v="42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66113"/>
    <x v="1"/>
    <s v="  "/>
    <n v="46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78818"/>
    <x v="1"/>
    <s v="  "/>
    <n v="501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607626"/>
    <x v="1"/>
    <s v="  "/>
    <n v="65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624951"/>
    <x v="1"/>
    <s v="  "/>
    <n v="657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624951"/>
    <x v="1"/>
    <s v="  "/>
    <n v="65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616866"/>
    <x v="1"/>
    <s v="  "/>
    <n v="662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619753"/>
    <x v="1"/>
    <s v="  "/>
    <n v="66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619176"/>
    <x v="1"/>
    <s v="  "/>
    <n v="67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58027"/>
    <x v="1"/>
    <s v="  "/>
    <n v="108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13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14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147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149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15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15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15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15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159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6766"/>
    <x v="1"/>
    <s v="  "/>
    <n v="1167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6766"/>
    <x v="1"/>
    <s v="  "/>
    <n v="1171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65217"/>
    <x v="1"/>
    <s v="  "/>
    <n v="119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9365"/>
    <x v="1"/>
    <s v="  "/>
    <n v="123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23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53984"/>
    <x v="1"/>
    <s v="  "/>
    <n v="125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84274"/>
    <x v="1"/>
    <s v="  "/>
    <n v="125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25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26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262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26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26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26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27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271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81964"/>
    <x v="1"/>
    <s v="  "/>
    <n v="127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9654"/>
    <x v="1"/>
    <s v="  "/>
    <n v="1277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79433"/>
    <x v="1"/>
    <s v="  "/>
    <n v="129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86363"/>
    <x v="1"/>
    <s v="  "/>
    <n v="129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75967"/>
    <x v="1"/>
    <s v="  "/>
    <n v="129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83475"/>
    <x v="1"/>
    <s v="  "/>
    <n v="131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89250"/>
    <x v="1"/>
    <s v="  "/>
    <n v="131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8788"/>
    <x v="1"/>
    <s v="  "/>
    <n v="132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31463"/>
    <x v="1"/>
    <s v="  "/>
    <n v="133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9364"/>
    <x v="1"/>
    <s v="  "/>
    <n v="133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50520"/>
    <x v="1"/>
    <s v="  "/>
    <n v="135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649274"/>
    <x v="1"/>
    <s v="  "/>
    <n v="136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88317"/>
    <x v="1"/>
    <s v="  "/>
    <n v="137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61529"/>
    <x v="1"/>
    <s v="  "/>
    <n v="1373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38429"/>
    <x v="1"/>
    <s v="  "/>
    <n v="137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39008"/>
    <x v="1"/>
    <s v="  "/>
    <n v="137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0161"/>
    <x v="1"/>
    <s v="  "/>
    <n v="1377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39585"/>
    <x v="1"/>
    <s v="  "/>
    <n v="1379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4782"/>
    <x v="1"/>
    <s v="  "/>
    <n v="138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2259"/>
    <x v="1"/>
    <s v="  "/>
    <n v="1382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3415"/>
    <x v="1"/>
    <s v="  "/>
    <n v="1383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8612"/>
    <x v="1"/>
    <s v="  "/>
    <n v="138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31500"/>
    <x v="1"/>
    <s v="  "/>
    <n v="138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39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39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39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40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75034"/>
    <x v="1"/>
    <s v="  "/>
    <n v="140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6265"/>
    <x v="1"/>
    <s v="  "/>
    <n v="141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8788"/>
    <x v="1"/>
    <s v="  "/>
    <n v="142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1280"/>
    <x v="1"/>
    <s v="  "/>
    <n v="142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59760"/>
    <x v="1"/>
    <s v="  "/>
    <n v="142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3012"/>
    <x v="1"/>
    <s v="  "/>
    <n v="1433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44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44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44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50520"/>
    <x v="1"/>
    <s v="  "/>
    <n v="1459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9365"/>
    <x v="1"/>
    <s v="  "/>
    <n v="1467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54563"/>
    <x v="1"/>
    <s v="  "/>
    <n v="1473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9365"/>
    <x v="1"/>
    <s v="  "/>
    <n v="147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82283"/>
    <x v="1"/>
    <s v="  "/>
    <n v="1499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0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09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21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2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2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4532"/>
    <x v="1"/>
    <s v="  "/>
    <n v="1542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52252"/>
    <x v="1"/>
    <s v="  "/>
    <n v="154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52831"/>
    <x v="1"/>
    <s v="  "/>
    <n v="154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58027"/>
    <x v="1"/>
    <s v="  "/>
    <n v="1547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86006"/>
    <x v="1"/>
    <s v="  "/>
    <n v="154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480232"/>
    <x v="1"/>
    <s v="  "/>
    <n v="1549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30308"/>
    <x v="1"/>
    <s v="  "/>
    <n v="155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51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5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5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58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60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21644"/>
    <x v="1"/>
    <s v="  "/>
    <n v="1561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9942"/>
    <x v="1"/>
    <s v="  "/>
    <n v="1571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9942"/>
    <x v="1"/>
    <s v="  "/>
    <n v="1572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5899"/>
    <x v="1"/>
    <s v="  "/>
    <n v="1575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9365"/>
    <x v="1"/>
    <s v="  "/>
    <n v="1576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49365"/>
    <x v="1"/>
    <s v="  "/>
    <n v="1577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83437"/>
    <x v="1"/>
    <s v="  "/>
    <n v="1584"/>
    <s v="באר שבע, כלניות"/>
    <x v="2"/>
    <d v="2017-07-05T00:00:00"/>
    <x v="0"/>
    <n v="7"/>
    <s v="בש/260/2016"/>
    <x v="1"/>
    <n v="1"/>
    <m/>
    <s v="בחירת מתחם תערך במרחב"/>
  </r>
  <r>
    <x v="1099"/>
    <n v="564380"/>
    <x v="1"/>
    <s v="  "/>
    <n v="1588"/>
    <s v="באר שבע, כלניות"/>
    <x v="2"/>
    <d v="2017-07-05T00:00:00"/>
    <x v="0"/>
    <n v="7"/>
    <s v="בש/260/2016"/>
    <x v="1"/>
    <n v="1"/>
    <m/>
    <s v="בחירת מתחם תערך במרחב"/>
  </r>
  <r>
    <x v="0"/>
    <n v="32197252"/>
    <x v="0"/>
    <s v="מחיר למשתכן"/>
    <n v="45637"/>
    <s v="באר שבע, הפארק"/>
    <x v="2"/>
    <d v="2017-03-04T00:00:00"/>
    <x v="0"/>
    <n v="3"/>
    <s v="בש/203/2016"/>
    <x v="1"/>
    <n v="210"/>
    <n v="22201"/>
    <s v="אין הצעות למתחם זה"/>
  </r>
  <r>
    <x v="1100"/>
    <n v="21869985"/>
    <x v="0"/>
    <s v="מחיר למשתכן"/>
    <n v="45638"/>
    <s v="באר שבע, הפארק"/>
    <x v="2"/>
    <d v="2017-03-04T00:00:00"/>
    <x v="0"/>
    <n v="3"/>
    <s v="בש/203/2016"/>
    <x v="1"/>
    <n v="140"/>
    <n v="15315"/>
    <n v="3846500"/>
  </r>
  <r>
    <x v="1101"/>
    <n v="30334252"/>
    <x v="0"/>
    <s v="מחיר למשתכן"/>
    <n v="45639"/>
    <s v="באר שבע, הפארק"/>
    <x v="2"/>
    <d v="2017-03-04T00:00:00"/>
    <x v="0"/>
    <n v="3"/>
    <s v="בש/203/2016"/>
    <x v="1"/>
    <n v="168"/>
    <n v="23153"/>
    <n v="3570000"/>
  </r>
  <r>
    <x v="1096"/>
    <n v="15860050"/>
    <x v="0"/>
    <s v="מחיר למשתכן"/>
    <n v="45640"/>
    <s v="באר שבע, הפארק"/>
    <x v="2"/>
    <d v="2017-03-04T00:00:00"/>
    <x v="0"/>
    <n v="3"/>
    <s v="בש/203/2016"/>
    <x v="1"/>
    <n v="98"/>
    <n v="11422"/>
    <n v="2817500"/>
  </r>
  <r>
    <x v="1102"/>
    <n v="23239339"/>
    <x v="0"/>
    <s v="מחיר למשתכן"/>
    <n v="45641"/>
    <s v="באר שבע, הפארק"/>
    <x v="2"/>
    <d v="2017-03-04T00:00:00"/>
    <x v="0"/>
    <n v="3"/>
    <s v="בש/203/2016"/>
    <x v="1"/>
    <n v="183"/>
    <n v="13233"/>
    <n v="3065250"/>
  </r>
  <r>
    <x v="1103"/>
    <n v="10628678"/>
    <x v="0"/>
    <s v="מחיר למשתכן"/>
    <n v="45642"/>
    <s v="באר שבע, הפארק"/>
    <x v="2"/>
    <d v="2017-03-04T00:00:00"/>
    <x v="0"/>
    <n v="3"/>
    <s v="בש/203/2016"/>
    <x v="1"/>
    <n v="73"/>
    <n v="6619"/>
    <n v="2093275"/>
  </r>
  <r>
    <x v="1104"/>
    <n v="15368768"/>
    <x v="0"/>
    <s v="מחיר למשתכן"/>
    <n v="45643"/>
    <s v="באר שבע, הפארק"/>
    <x v="2"/>
    <d v="2017-03-04T00:00:00"/>
    <x v="0"/>
    <n v="3"/>
    <s v="בש/203/2016"/>
    <x v="1"/>
    <n v="125"/>
    <n v="8398"/>
    <n v="-3175000"/>
  </r>
  <r>
    <x v="1105"/>
    <n v="19968684"/>
    <x v="0"/>
    <s v="מחיר למשתכן"/>
    <n v="45654"/>
    <s v="באר שבע, הפארק"/>
    <x v="2"/>
    <d v="2017-03-04T00:00:00"/>
    <x v="0"/>
    <n v="3"/>
    <s v="בש/203/2016"/>
    <x v="1"/>
    <n v="146"/>
    <n v="11619"/>
    <n v="-4562500"/>
  </r>
  <r>
    <x v="0"/>
    <n v="7543685"/>
    <x v="0"/>
    <s v="מחיר למשתכן"/>
    <n v="45655"/>
    <s v="באר שבע, הפארק"/>
    <x v="2"/>
    <d v="2017-03-04T00:00:00"/>
    <x v="0"/>
    <n v="3"/>
    <s v="בש/203/2016"/>
    <x v="1"/>
    <n v="52"/>
    <n v="4444"/>
    <s v="אין הצעות למתחם זה"/>
  </r>
  <r>
    <x v="1106"/>
    <n v="12673516"/>
    <x v="0"/>
    <s v="מחיר למשתכן"/>
    <n v="45656"/>
    <s v="באר שבע, הפארק"/>
    <x v="2"/>
    <d v="2017-03-04T00:00:00"/>
    <x v="0"/>
    <n v="3"/>
    <s v="בש/203/2016"/>
    <x v="1"/>
    <n v="104"/>
    <n v="6093"/>
    <n v="-4927000"/>
  </r>
  <r>
    <x v="0"/>
    <n v="7049687"/>
    <x v="0"/>
    <s v="מחיר למשתכן"/>
    <n v="45657"/>
    <s v="באר שבע, הפארק"/>
    <x v="2"/>
    <d v="2017-03-04T00:00:00"/>
    <x v="0"/>
    <n v="3"/>
    <s v="בש/203/2016"/>
    <x v="1"/>
    <n v="47"/>
    <n v="4922"/>
    <s v="אין הצעות למתחם זה"/>
  </r>
  <r>
    <x v="0"/>
    <n v="11694784"/>
    <x v="0"/>
    <s v="מחיר למשתכן"/>
    <n v="45658"/>
    <s v="באר שבע, הפארק"/>
    <x v="2"/>
    <d v="2017-03-04T00:00:00"/>
    <x v="0"/>
    <n v="3"/>
    <s v="בש/203/2016"/>
    <x v="1"/>
    <n v="84"/>
    <n v="7378"/>
    <s v="אין הצעות למתחם זה"/>
  </r>
  <r>
    <x v="0"/>
    <n v="6678752"/>
    <x v="0"/>
    <s v="מחיר למשתכן"/>
    <n v="45659"/>
    <s v="באר שבע, הפארק"/>
    <x v="2"/>
    <d v="2017-03-04T00:00:00"/>
    <x v="0"/>
    <n v="3"/>
    <s v="בש/203/2016"/>
    <x v="1"/>
    <n v="42"/>
    <n v="4744"/>
    <s v="אין הצעות למתחם זה"/>
  </r>
  <r>
    <x v="1107"/>
    <n v="22526322"/>
    <x v="0"/>
    <s v="מחיר למשתכן"/>
    <n v="42127"/>
    <s v="בית שמש"/>
    <x v="3"/>
    <d v="2017-08-05T00:00:00"/>
    <x v="0"/>
    <n v="8"/>
    <s v="ים/50/2017"/>
    <x v="1"/>
    <n v="68"/>
    <n v="9820"/>
    <n v="4188800"/>
  </r>
  <r>
    <x v="1108"/>
    <n v="29204115"/>
    <x v="0"/>
    <s v="מחיר למשתכן"/>
    <s v="א"/>
    <s v="הרצליה, גליל ים"/>
    <x v="4"/>
    <d v="2016-12-27T00:00:00"/>
    <x v="1"/>
    <n v="12"/>
    <s v="תא/101/2016"/>
    <x v="1"/>
    <n v="156"/>
    <n v="9224.2940619077708"/>
    <n v="81377400"/>
  </r>
  <r>
    <x v="1109"/>
    <n v="40804622"/>
    <x v="0"/>
    <s v="מחיר למשתכן"/>
    <s v="ב"/>
    <s v="הרצליה, גליל ים"/>
    <x v="4"/>
    <d v="2016-12-27T00:00:00"/>
    <x v="1"/>
    <n v="12"/>
    <s v="תא/101/2016"/>
    <x v="1"/>
    <n v="224"/>
    <n v="14326"/>
    <n v="119403200"/>
  </r>
  <r>
    <x v="1110"/>
    <n v="55053545"/>
    <x v="0"/>
    <s v="מחיר למשתכן"/>
    <s v="ו"/>
    <s v="הרצליה, גליל ים"/>
    <x v="4"/>
    <d v="2016-12-27T00:00:00"/>
    <x v="1"/>
    <n v="12"/>
    <s v="תא/101/2016"/>
    <x v="1"/>
    <n v="350"/>
    <n v="14579.858315677966"/>
    <n v="207567500"/>
  </r>
  <r>
    <x v="1111"/>
    <n v="37154460"/>
    <x v="0"/>
    <s v="מחיר למשתכן"/>
    <s v="ה"/>
    <s v="הרצליה, גליל ים"/>
    <x v="4"/>
    <d v="2016-12-27T00:00:00"/>
    <x v="1"/>
    <n v="12"/>
    <s v="תא/101/2016"/>
    <x v="1"/>
    <n v="245"/>
    <n v="8808.5490753911799"/>
    <n v="148384250"/>
  </r>
  <r>
    <x v="1112"/>
    <n v="43379529"/>
    <x v="0"/>
    <s v="מחיר למשתכן"/>
    <s v="ד"/>
    <s v="הרצליה, גליל ים"/>
    <x v="4"/>
    <d v="2016-12-27T00:00:00"/>
    <x v="1"/>
    <n v="12"/>
    <s v="תא/101/2016"/>
    <x v="1"/>
    <n v="281"/>
    <n v="10658.360933660933"/>
    <n v="173285675"/>
  </r>
  <r>
    <x v="1113"/>
    <n v="32361713"/>
    <x v="0"/>
    <s v="מחיר למשתכן"/>
    <s v="ג"/>
    <s v="הרצליה, גליל ים"/>
    <x v="4"/>
    <d v="2016-12-27T00:00:00"/>
    <x v="1"/>
    <n v="12"/>
    <s v="תא/101/2016"/>
    <x v="1"/>
    <n v="212"/>
    <n v="7783"/>
    <n v="132420500"/>
  </r>
  <r>
    <x v="1114"/>
    <m/>
    <x v="0"/>
    <s v="מחיר למשתכן"/>
    <s v="א"/>
    <s v="חדרה, רחוב השלדג גבעת אולגה"/>
    <x v="5"/>
    <d v="2017-03-04T00:00:00"/>
    <x v="0"/>
    <n v="3"/>
    <s v="חי/351/2016"/>
    <x v="0"/>
    <m/>
    <m/>
    <n v="0"/>
  </r>
  <r>
    <x v="0"/>
    <n v="326042"/>
    <x v="0"/>
    <s v="מחיר למשתכן"/>
    <s v="א"/>
    <s v="חולון, תל גיבורים"/>
    <x v="6"/>
    <d v="2017-08-05T00:00:00"/>
    <x v="0"/>
    <n v="8"/>
    <s v="תא/45/2017"/>
    <x v="0"/>
    <m/>
    <m/>
    <s v="אין הצעות למתחם זה"/>
  </r>
  <r>
    <x v="1115"/>
    <n v="5003647"/>
    <x v="0"/>
    <s v="  "/>
    <n v="41213"/>
    <s v="חצור הגלילית, בוסתן"/>
    <x v="7"/>
    <d v="2017-04-23T00:00:00"/>
    <x v="0"/>
    <n v="4"/>
    <s v="צפ/246/2016"/>
    <x v="0"/>
    <m/>
    <m/>
    <n v="1420457"/>
  </r>
  <r>
    <x v="0"/>
    <n v="2699033"/>
    <x v="0"/>
    <s v="  "/>
    <n v="41216"/>
    <s v="חצור הגלילית, בוסתן"/>
    <x v="7"/>
    <d v="2017-04-23T00:00:00"/>
    <x v="0"/>
    <n v="4"/>
    <s v="צפ/246/2016"/>
    <x v="0"/>
    <m/>
    <m/>
    <s v="אין הצעות למתחם זה"/>
  </r>
  <r>
    <x v="0"/>
    <n v="3799908"/>
    <x v="0"/>
    <s v="  "/>
    <n v="45357"/>
    <s v="חצור הגלילית, בוסתן"/>
    <x v="7"/>
    <d v="2017-04-23T00:00:00"/>
    <x v="0"/>
    <n v="4"/>
    <s v="צפ/246/2016"/>
    <x v="0"/>
    <m/>
    <m/>
    <s v="אין הצעות למתחם זה"/>
  </r>
  <r>
    <x v="1116"/>
    <n v="254358"/>
    <x v="0"/>
    <s v="מחיר למשתכן"/>
    <n v="3"/>
    <s v="טירת הכרמל"/>
    <x v="8"/>
    <d v="2016-02-01T00:00:00"/>
    <x v="1"/>
    <n v="2"/>
    <s v="חי/147/2015"/>
    <x v="2"/>
    <n v="21"/>
    <n v="1846"/>
    <n v="-1916250"/>
  </r>
  <r>
    <x v="1117"/>
    <n v="7680000"/>
    <x v="0"/>
    <s v="מחיר למשתכן"/>
    <n v="43271"/>
    <s v="טירת הכרמל, החותרים"/>
    <x v="8"/>
    <d v="2016-05-30T00:00:00"/>
    <x v="1"/>
    <n v="5"/>
    <s v="חי/328/2015"/>
    <x v="1"/>
    <n v="64"/>
    <n v="6306"/>
    <n v="-1390400"/>
  </r>
  <r>
    <x v="1117"/>
    <n v="8760001"/>
    <x v="0"/>
    <s v="מחיר למשתכן"/>
    <n v="43272"/>
    <s v="טירת הכרמל, החותרים"/>
    <x v="8"/>
    <d v="2016-05-30T00:00:00"/>
    <x v="1"/>
    <n v="5"/>
    <s v="חי/328/2015"/>
    <x v="1"/>
    <n v="73"/>
    <n v="7182"/>
    <n v="-1585925"/>
  </r>
  <r>
    <x v="1118"/>
    <n v="23519999"/>
    <x v="0"/>
    <s v="מחיר למשתכן"/>
    <n v="43282"/>
    <s v="טירת הכרמל, החותרים"/>
    <x v="8"/>
    <d v="2016-05-30T00:00:00"/>
    <x v="1"/>
    <n v="5"/>
    <s v="חי/328/2015"/>
    <x v="1"/>
    <n v="304"/>
    <n v="14508"/>
    <n v="-2705600"/>
  </r>
  <r>
    <x v="1119"/>
    <n v="25319999"/>
    <x v="0"/>
    <s v="מחיר למשתכן"/>
    <n v="43276"/>
    <s v="טירת הכרמל, החותרים"/>
    <x v="8"/>
    <d v="2016-05-30T00:00:00"/>
    <x v="1"/>
    <n v="5"/>
    <s v="חי/328/2015"/>
    <x v="1"/>
    <n v="211"/>
    <n v="23039"/>
    <n v="-105500"/>
  </r>
  <r>
    <x v="1120"/>
    <n v="14830380"/>
    <x v="0"/>
    <s v="מחיר למשתכן"/>
    <n v="46315"/>
    <s v="טירת הכרמל"/>
    <x v="8"/>
    <d v="2016-12-21T00:00:00"/>
    <x v="1"/>
    <n v="12"/>
    <s v="חי/216/2016"/>
    <x v="1"/>
    <n v="78"/>
    <m/>
    <n v="124800"/>
  </r>
  <r>
    <x v="1121"/>
    <n v="36480001"/>
    <x v="0"/>
    <s v="מחיר למשתכן"/>
    <n v="43275"/>
    <s v="טירת הכרמל, החותרים"/>
    <x v="8"/>
    <d v="2016-05-30T00:00:00"/>
    <x v="1"/>
    <n v="5"/>
    <s v="חי/328/2015"/>
    <x v="1"/>
    <n v="244"/>
    <n v="14121"/>
    <n v="5368000"/>
  </r>
  <r>
    <x v="1122"/>
    <n v="29280001"/>
    <x v="0"/>
    <s v="מחיר למשתכן"/>
    <n v="43277"/>
    <s v="טירת הכרמל, החותרים"/>
    <x v="8"/>
    <d v="2016-05-30T00:00:00"/>
    <x v="1"/>
    <n v="5"/>
    <s v="חי/328/2015"/>
    <x v="1"/>
    <n v="196"/>
    <n v="14641"/>
    <n v="4591300"/>
  </r>
  <r>
    <x v="1123"/>
    <n v="24761169"/>
    <x v="0"/>
    <s v="מחיר למשתכן"/>
    <n v="4318"/>
    <s v="טירת הכרמל"/>
    <x v="8"/>
    <d v="2016-12-21T00:00:00"/>
    <x v="1"/>
    <n v="12"/>
    <s v="חי/216/2016"/>
    <x v="1"/>
    <n v="148"/>
    <m/>
    <n v="6741400"/>
  </r>
  <r>
    <x v="1124"/>
    <n v="22961203"/>
    <x v="0"/>
    <s v="מחיר למשתכן"/>
    <n v="46316"/>
    <s v="טירת הכרמל"/>
    <x v="8"/>
    <d v="2016-12-21T00:00:00"/>
    <x v="1"/>
    <n v="12"/>
    <s v="חי/216/2016"/>
    <x v="1"/>
    <n v="136"/>
    <m/>
    <n v="7969600"/>
  </r>
  <r>
    <x v="1125"/>
    <n v="21199873"/>
    <x v="0"/>
    <s v="מחיר למשתכן"/>
    <n v="46317"/>
    <s v="טירת הכרמל"/>
    <x v="8"/>
    <d v="2016-12-21T00:00:00"/>
    <x v="1"/>
    <n v="12"/>
    <s v="חי/216/2016"/>
    <x v="1"/>
    <n v="136"/>
    <m/>
    <n v="8846800"/>
  </r>
  <r>
    <x v="1126"/>
    <n v="9157533"/>
    <x v="0"/>
    <s v="  "/>
    <n v="35330"/>
    <s v="טירת הכרמל, גלי כרמל"/>
    <x v="8"/>
    <d v="2014-11-10T00:00:00"/>
    <x v="2"/>
    <n v="11"/>
    <s v="חי/233/2014"/>
    <x v="1"/>
    <n v="64"/>
    <n v="3889"/>
    <n v="3333333"/>
  </r>
  <r>
    <x v="1127"/>
    <n v="9781221"/>
    <x v="0"/>
    <s v="  "/>
    <n v="24073"/>
    <s v="טירת הכרמל, גלי כרמל"/>
    <x v="8"/>
    <d v="2014-11-10T00:00:00"/>
    <x v="2"/>
    <n v="11"/>
    <s v="חי/233/2014"/>
    <x v="1"/>
    <n v="64"/>
    <n v="4674"/>
    <n v="3777888"/>
  </r>
  <r>
    <x v="1128"/>
    <n v="10446974"/>
    <x v="0"/>
    <s v="  "/>
    <n v="24063"/>
    <s v="טירת הכרמל, גלי כרמל"/>
    <x v="8"/>
    <d v="2014-07-06T00:00:00"/>
    <x v="2"/>
    <n v="7"/>
    <s v="חי/69/2014"/>
    <x v="1"/>
    <n v="76"/>
    <n v="6147"/>
    <n v="4444445"/>
  </r>
  <r>
    <x v="1129"/>
    <n v="11298962"/>
    <x v="0"/>
    <s v="  "/>
    <n v="24067"/>
    <s v="טירת הכרמל, גלי כרמל"/>
    <x v="8"/>
    <d v="2014-07-06T00:00:00"/>
    <x v="2"/>
    <n v="7"/>
    <s v="חי/69/2014"/>
    <x v="1"/>
    <n v="80"/>
    <n v="2910"/>
    <n v="4715000"/>
  </r>
  <r>
    <x v="1130"/>
    <n v="9061200"/>
    <x v="0"/>
    <s v="  "/>
    <n v="35328"/>
    <s v="טירת הכרמל, גלי כרמל"/>
    <x v="8"/>
    <d v="2014-11-10T00:00:00"/>
    <x v="2"/>
    <n v="11"/>
    <s v="חי/233/2014"/>
    <x v="1"/>
    <n v="80"/>
    <n v="3419"/>
    <n v="5700000"/>
  </r>
  <r>
    <x v="1131"/>
    <n v="8487306"/>
    <x v="0"/>
    <s v="  "/>
    <n v="24064"/>
    <s v="טירת הכרמל, גלי כרמל"/>
    <x v="8"/>
    <d v="2014-07-06T00:00:00"/>
    <x v="2"/>
    <n v="7"/>
    <s v="חי/69/2014"/>
    <x v="1"/>
    <n v="94"/>
    <n v="9334"/>
    <n v="5720000"/>
  </r>
  <r>
    <x v="1132"/>
    <n v="8914589"/>
    <x v="0"/>
    <s v="  "/>
    <n v="35327"/>
    <s v="טירת הכרמל, גלי כרמל"/>
    <x v="8"/>
    <d v="2014-11-10T00:00:00"/>
    <x v="2"/>
    <n v="11"/>
    <s v="חי/233/2014"/>
    <x v="1"/>
    <n v="80"/>
    <n v="3233"/>
    <n v="5785000"/>
  </r>
  <r>
    <x v="1133"/>
    <n v="13325636"/>
    <x v="0"/>
    <s v="  "/>
    <n v="35329"/>
    <s v="טירת הכרמל, גלי כרמל"/>
    <x v="8"/>
    <d v="2014-11-10T00:00:00"/>
    <x v="2"/>
    <n v="11"/>
    <s v="חי/233/2014"/>
    <x v="1"/>
    <n v="104"/>
    <n v="6890"/>
    <n v="7820000"/>
  </r>
  <r>
    <x v="1134"/>
    <n v="14286488"/>
    <x v="0"/>
    <s v="  "/>
    <n v="24065"/>
    <s v="טירת הכרמל, גלי כרמל"/>
    <x v="8"/>
    <d v="2014-07-06T00:00:00"/>
    <x v="2"/>
    <n v="7"/>
    <s v="חי/69/2014"/>
    <x v="1"/>
    <n v="82"/>
    <n v="6664"/>
    <n v="8366180"/>
  </r>
  <r>
    <x v="1135"/>
    <n v="18692890"/>
    <x v="0"/>
    <s v="  "/>
    <n v="35326"/>
    <s v="טירת הכרמל, גלי כרמל"/>
    <x v="8"/>
    <d v="2014-11-10T00:00:00"/>
    <x v="2"/>
    <n v="11"/>
    <s v="חי/233/2014"/>
    <x v="1"/>
    <n v="152"/>
    <n v="6156"/>
    <n v="13227000"/>
  </r>
  <r>
    <x v="1136"/>
    <n v="39495178"/>
    <x v="0"/>
    <s v="  "/>
    <n v="24074"/>
    <s v="טירת הכרמל"/>
    <x v="8"/>
    <d v="2015-12-31T00:00:00"/>
    <x v="3"/>
    <n v="12"/>
    <s v="חי/169/2015"/>
    <x v="1"/>
    <n v="117"/>
    <n v="29749"/>
    <n v="38777999"/>
  </r>
  <r>
    <x v="1137"/>
    <m/>
    <x v="4"/>
    <s v="  "/>
    <n v="1"/>
    <s v="טירת הכרמל, רח' הרימון 7"/>
    <x v="8"/>
    <d v="2017-04-23T00:00:00"/>
    <x v="0"/>
    <n v="4"/>
    <s v="עמ/604/2017"/>
    <x v="3"/>
    <m/>
    <m/>
    <n v="3600010"/>
  </r>
  <r>
    <x v="1138"/>
    <n v="62643201"/>
    <x v="0"/>
    <s v="מחיר למשתכן"/>
    <s v="ה"/>
    <s v="יבנה"/>
    <x v="9"/>
    <d v="2017-02-27T00:00:00"/>
    <x v="0"/>
    <n v="2"/>
    <s v="מר/229/2016"/>
    <x v="1"/>
    <n v="234"/>
    <n v="18073.629832660128"/>
    <n v="30332250"/>
  </r>
  <r>
    <x v="1139"/>
    <n v="63713371"/>
    <x v="0"/>
    <s v="מחיר למשתכן"/>
    <s v="ו"/>
    <s v="יבנה"/>
    <x v="9"/>
    <d v="2017-02-13T00:00:00"/>
    <x v="0"/>
    <n v="2"/>
    <s v="מר/228/2016"/>
    <x v="1"/>
    <n v="238"/>
    <n v="21401.871346993619"/>
    <n v="33724600"/>
  </r>
  <r>
    <x v="1140"/>
    <n v="21427659"/>
    <x v="0"/>
    <s v="מחיר למשתכן"/>
    <s v="יז"/>
    <s v="יבנה"/>
    <x v="9"/>
    <d v="2017-02-27T00:00:00"/>
    <x v="0"/>
    <n v="2"/>
    <s v="מר/229/2016"/>
    <x v="1"/>
    <n v="76"/>
    <n v="7962.7123745819399"/>
    <n v="10774900"/>
  </r>
  <r>
    <x v="1141"/>
    <n v="30607607"/>
    <x v="0"/>
    <s v="מחיר למשתכן"/>
    <s v="ב"/>
    <s v="יבנה"/>
    <x v="9"/>
    <d v="2017-02-13T00:00:00"/>
    <x v="0"/>
    <n v="2"/>
    <s v="מר/228/2016"/>
    <x v="1"/>
    <n v="120"/>
    <n v="9239"/>
    <n v="17355000"/>
  </r>
  <r>
    <x v="1141"/>
    <n v="39125626"/>
    <x v="0"/>
    <s v="מחיר למשתכן"/>
    <s v="ג"/>
    <s v="יבנה"/>
    <x v="9"/>
    <d v="2017-02-13T00:00:00"/>
    <x v="0"/>
    <n v="2"/>
    <s v="מר/228/2016"/>
    <x v="1"/>
    <n v="120"/>
    <n v="11809.727135526713"/>
    <n v="17355000"/>
  </r>
  <r>
    <x v="1142"/>
    <n v="18140231"/>
    <x v="0"/>
    <s v="מחיר למשתכן"/>
    <s v="יט"/>
    <s v="יבנה"/>
    <x v="9"/>
    <d v="2017-02-27T00:00:00"/>
    <x v="0"/>
    <n v="2"/>
    <s v="מר/229/2016"/>
    <x v="1"/>
    <n v="78"/>
    <n v="4181.7037805440295"/>
    <n v="11310000"/>
  </r>
  <r>
    <x v="1143"/>
    <n v="20387454"/>
    <x v="0"/>
    <s v="מחיר למשתכן"/>
    <s v="יא"/>
    <s v="יבנה"/>
    <x v="9"/>
    <d v="2017-02-13T00:00:00"/>
    <x v="0"/>
    <n v="2"/>
    <s v="מר/228/2016"/>
    <x v="1"/>
    <n v="76"/>
    <n v="6884"/>
    <n v="11048500"/>
  </r>
  <r>
    <x v="1143"/>
    <n v="30718371"/>
    <x v="0"/>
    <s v="מחיר למשתכן"/>
    <s v="א"/>
    <s v="יבנה"/>
    <x v="9"/>
    <d v="2017-02-13T00:00:00"/>
    <x v="0"/>
    <n v="2"/>
    <s v="מר/228/2016"/>
    <x v="1"/>
    <n v="120"/>
    <n v="9353.9497563946406"/>
    <n v="17445000"/>
  </r>
  <r>
    <x v="1144"/>
    <n v="28359489"/>
    <x v="0"/>
    <s v="מחיר למשתכן"/>
    <s v="ד"/>
    <s v="יבנה"/>
    <x v="9"/>
    <d v="2017-02-13T00:00:00"/>
    <x v="0"/>
    <n v="2"/>
    <s v="מר/228/2016"/>
    <x v="1"/>
    <n v="150"/>
    <n v="9023.0636334712053"/>
    <n v="23448750"/>
  </r>
  <r>
    <x v="1145"/>
    <n v="19689290"/>
    <x v="0"/>
    <s v="מחיר למשתכן"/>
    <s v="יב"/>
    <s v="יבנה"/>
    <x v="9"/>
    <d v="2017-02-13T00:00:00"/>
    <x v="0"/>
    <n v="2"/>
    <s v="מר/228/2016"/>
    <x v="1"/>
    <n v="79"/>
    <n v="5603"/>
    <n v="12497800"/>
  </r>
  <r>
    <x v="1146"/>
    <n v="21868796"/>
    <x v="0"/>
    <s v="מחיר למשתכן"/>
    <s v="ח"/>
    <s v="יבנה"/>
    <x v="9"/>
    <d v="2017-02-13T00:00:00"/>
    <x v="0"/>
    <n v="2"/>
    <s v="מר/228/2016"/>
    <x v="1"/>
    <n v="84"/>
    <n v="6922"/>
    <n v="13377000"/>
  </r>
  <r>
    <x v="1147"/>
    <n v="19724499"/>
    <x v="0"/>
    <s v="מחיר למשתכן"/>
    <s v="י"/>
    <s v="יבנה"/>
    <x v="9"/>
    <d v="2017-02-13T00:00:00"/>
    <x v="0"/>
    <n v="2"/>
    <s v="מר/228/2016"/>
    <x v="1"/>
    <n v="74"/>
    <n v="6547"/>
    <n v="11867750"/>
  </r>
  <r>
    <x v="1147"/>
    <n v="21811969"/>
    <x v="0"/>
    <s v="מחיר למשתכן"/>
    <s v="יד"/>
    <s v="יבנה"/>
    <x v="9"/>
    <d v="2017-02-13T00:00:00"/>
    <x v="0"/>
    <n v="2"/>
    <s v="מר/228/2016"/>
    <x v="1"/>
    <n v="84"/>
    <n v="6863"/>
    <n v="13471500"/>
  </r>
  <r>
    <x v="1148"/>
    <n v="37968855"/>
    <x v="0"/>
    <s v="מחיר למשתכן"/>
    <s v="יח"/>
    <s v="יבנה"/>
    <x v="9"/>
    <d v="2017-02-27T00:00:00"/>
    <x v="0"/>
    <n v="2"/>
    <s v="מר/229/2016"/>
    <x v="1"/>
    <n v="150"/>
    <n v="11260.040035587188"/>
    <n v="24956250"/>
  </r>
  <r>
    <x v="1149"/>
    <n v="17141237"/>
    <x v="0"/>
    <s v="מחיר למשתכן"/>
    <s v="יג"/>
    <s v="יבנה"/>
    <x v="9"/>
    <d v="2017-02-13T00:00:00"/>
    <x v="0"/>
    <n v="2"/>
    <s v="מר/228/2016"/>
    <x v="1"/>
    <n v="62"/>
    <n v="6147"/>
    <n v="10408250"/>
  </r>
  <r>
    <x v="1150"/>
    <n v="10589469"/>
    <x v="0"/>
    <s v="מחיר למשתכן"/>
    <s v="טו"/>
    <s v="יבנה"/>
    <x v="9"/>
    <d v="2017-02-13T00:00:00"/>
    <x v="0"/>
    <n v="2"/>
    <s v="מר/228/2016"/>
    <x v="1"/>
    <n v="40"/>
    <n v="3478"/>
    <n v="6745000"/>
  </r>
  <r>
    <x v="1151"/>
    <n v="21947772"/>
    <x v="0"/>
    <s v="מחיר למשתכן"/>
    <s v="ט"/>
    <s v="יבנה"/>
    <x v="9"/>
    <d v="2017-02-13T00:00:00"/>
    <x v="0"/>
    <n v="2"/>
    <s v="מר/228/2016"/>
    <x v="1"/>
    <n v="84"/>
    <n v="7004"/>
    <n v="14416500"/>
  </r>
  <r>
    <x v="1152"/>
    <n v="20813906"/>
    <x v="0"/>
    <s v="מחיר למשתכן"/>
    <s v="ז"/>
    <s v="יבנה"/>
    <x v="9"/>
    <d v="2017-02-13T00:00:00"/>
    <x v="0"/>
    <n v="2"/>
    <s v="מר/228/2016"/>
    <x v="1"/>
    <n v="80"/>
    <n v="6577"/>
    <n v="14030000"/>
  </r>
  <r>
    <x v="1153"/>
    <n v="8921261"/>
    <x v="0"/>
    <s v="מחיר למשתכן"/>
    <s v="ה"/>
    <s v="יבנה"/>
    <x v="9"/>
    <d v="2017-02-13T00:00:00"/>
    <x v="0"/>
    <n v="2"/>
    <s v="מר/228/2016"/>
    <x v="1"/>
    <n v="34"/>
    <n v="2878.7547595998708"/>
    <n v="6370750"/>
  </r>
  <r>
    <x v="1154"/>
    <n v="914441"/>
    <x v="1"/>
    <s v="  "/>
    <n v="127"/>
    <s v="יבנה"/>
    <x v="9"/>
    <d v="2015-03-01T00:00:00"/>
    <x v="3"/>
    <n v="3"/>
    <s v="מר/327/2014"/>
    <x v="2"/>
    <n v="2"/>
    <n v="510"/>
    <n v="980980"/>
  </r>
  <r>
    <x v="1155"/>
    <n v="995108"/>
    <x v="1"/>
    <s v="  "/>
    <n v="1149"/>
    <s v="יבנה"/>
    <x v="9"/>
    <d v="2015-03-01T00:00:00"/>
    <x v="3"/>
    <n v="3"/>
    <s v="מר/327/2014"/>
    <x v="2"/>
    <n v="2"/>
    <n v="575"/>
    <n v="1029580"/>
  </r>
  <r>
    <x v="1156"/>
    <n v="940503"/>
    <x v="1"/>
    <s v="  "/>
    <n v="1128"/>
    <s v="יבנה"/>
    <x v="9"/>
    <d v="2015-03-01T00:00:00"/>
    <x v="3"/>
    <n v="3"/>
    <s v="מר/327/2014"/>
    <x v="2"/>
    <n v="2"/>
    <n v="531"/>
    <n v="1110999"/>
  </r>
  <r>
    <x v="1157"/>
    <n v="944226"/>
    <x v="1"/>
    <s v="  "/>
    <n v="1148"/>
    <s v="יבנה"/>
    <x v="9"/>
    <d v="2015-03-01T00:00:00"/>
    <x v="3"/>
    <n v="3"/>
    <s v="מר/327/2014"/>
    <x v="2"/>
    <n v="2"/>
    <n v="534"/>
    <n v="1162000"/>
  </r>
  <r>
    <x v="1158"/>
    <n v="9162703"/>
    <x v="0"/>
    <s v="  "/>
    <n v="253"/>
    <s v="יבנה, נאות שמיר"/>
    <x v="9"/>
    <d v="2017-03-07T00:00:00"/>
    <x v="0"/>
    <n v="3"/>
    <s v="מר/243/2016"/>
    <x v="1"/>
    <n v="26"/>
    <n v="3261.9092203631185"/>
    <n v="6940000"/>
  </r>
  <r>
    <x v="1159"/>
    <n v="7644866"/>
    <x v="0"/>
    <s v="  "/>
    <n v="204"/>
    <s v="יבנה, נאות שמיר"/>
    <x v="9"/>
    <d v="2017-03-07T00:00:00"/>
    <x v="0"/>
    <n v="3"/>
    <s v="מר/243/2016"/>
    <x v="1"/>
    <n v="26"/>
    <n v="2437.7761479591836"/>
    <n v="7840000"/>
  </r>
  <r>
    <x v="1160"/>
    <n v="12475619"/>
    <x v="0"/>
    <s v="  "/>
    <n v="34168"/>
    <s v="יבנה, דרום"/>
    <x v="9"/>
    <d v="2014-05-25T00:00:00"/>
    <x v="2"/>
    <n v="5"/>
    <s v="מר/323/2013"/>
    <x v="2"/>
    <n v="64"/>
    <n v="5617"/>
    <n v="10884900"/>
  </r>
  <r>
    <x v="1161"/>
    <n v="27283244"/>
    <x v="0"/>
    <s v="  "/>
    <n v="18863"/>
    <s v="יבנה, דרום"/>
    <x v="9"/>
    <d v="2014-05-25T00:00:00"/>
    <x v="2"/>
    <n v="5"/>
    <s v="מר/323/2013"/>
    <x v="2"/>
    <n v="160"/>
    <n v="10079"/>
    <n v="27026260"/>
  </r>
  <r>
    <x v="0"/>
    <n v="4183728"/>
    <x v="0"/>
    <s v="  "/>
    <n v="601"/>
    <s v="ירוחם"/>
    <x v="10"/>
    <d v="2017-04-23T00:00:00"/>
    <x v="0"/>
    <n v="4"/>
    <s v="בש/211/2016"/>
    <x v="0"/>
    <m/>
    <m/>
    <s v="אין הצעות למתחם זה"/>
  </r>
  <r>
    <x v="0"/>
    <n v="2082154"/>
    <x v="0"/>
    <s v="מחיר למשתכן"/>
    <n v="44048"/>
    <s v="כפר מנדא"/>
    <x v="11"/>
    <d v="2017-03-04T00:00:00"/>
    <x v="0"/>
    <n v="3"/>
    <s v="צפ/237/2016"/>
    <x v="0"/>
    <m/>
    <m/>
    <s v="אין הצעות למתחם זה"/>
  </r>
  <r>
    <x v="0"/>
    <n v="1724251"/>
    <x v="0"/>
    <s v="מחיר למשתכן"/>
    <n v="44049"/>
    <s v="כפר מנדא"/>
    <x v="11"/>
    <d v="2017-03-04T00:00:00"/>
    <x v="0"/>
    <n v="3"/>
    <s v="צפ/237/2016"/>
    <x v="0"/>
    <m/>
    <m/>
    <s v="אין הצעות למתחם זה"/>
  </r>
  <r>
    <x v="1162"/>
    <n v="1352751"/>
    <x v="0"/>
    <s v="מחיר למשתכן"/>
    <n v="44050"/>
    <s v="כפר מנדא"/>
    <x v="11"/>
    <d v="2017-03-04T00:00:00"/>
    <x v="0"/>
    <n v="3"/>
    <s v="צפ/237/2016"/>
    <x v="0"/>
    <m/>
    <m/>
    <n v="0"/>
  </r>
  <r>
    <x v="0"/>
    <n v="1991185"/>
    <x v="0"/>
    <s v="מחיר למשתכן"/>
    <n v="44051"/>
    <s v="כפר מנדא"/>
    <x v="11"/>
    <d v="2017-03-04T00:00:00"/>
    <x v="0"/>
    <n v="3"/>
    <s v="צפ/237/2016"/>
    <x v="0"/>
    <m/>
    <m/>
    <s v="אין הצעות למתחם זה"/>
  </r>
  <r>
    <x v="0"/>
    <n v="1357292"/>
    <x v="0"/>
    <s v="מחיר למשתכן"/>
    <n v="44052"/>
    <s v="כפר מנדא"/>
    <x v="11"/>
    <d v="2017-03-04T00:00:00"/>
    <x v="0"/>
    <n v="3"/>
    <s v="צפ/237/2016"/>
    <x v="0"/>
    <m/>
    <m/>
    <s v="אין הצעות למתחם זה"/>
  </r>
  <r>
    <x v="1163"/>
    <n v="1365109"/>
    <x v="0"/>
    <s v="מחיר למשתכן"/>
    <n v="44053"/>
    <s v="כפר מנדא"/>
    <x v="11"/>
    <d v="2017-03-04T00:00:00"/>
    <x v="0"/>
    <n v="3"/>
    <s v="צפ/237/2016"/>
    <x v="0"/>
    <m/>
    <m/>
    <s v="הצעות לא בטווח"/>
  </r>
  <r>
    <x v="1164"/>
    <n v="29148641"/>
    <x v="0"/>
    <s v="מחיר למשתכן"/>
    <n v="1"/>
    <s v="מבשרת ציון"/>
    <x v="12"/>
    <d v="2017-08-05T00:00:00"/>
    <x v="0"/>
    <n v="8"/>
    <s v="ים/285/2016"/>
    <x v="0"/>
    <m/>
    <m/>
    <n v="0"/>
  </r>
  <r>
    <x v="1165"/>
    <n v="30918445"/>
    <x v="0"/>
    <s v="מחיר למשתכן"/>
    <n v="2"/>
    <s v="מבשרת ציון"/>
    <x v="12"/>
    <d v="2017-08-05T00:00:00"/>
    <x v="0"/>
    <n v="8"/>
    <s v="ים/285/2016"/>
    <x v="0"/>
    <m/>
    <m/>
    <n v="0"/>
  </r>
  <r>
    <x v="1166"/>
    <n v="17231593"/>
    <x v="0"/>
    <s v="מחיר למשתכן"/>
    <n v="3"/>
    <s v="מבשרת ציון"/>
    <x v="12"/>
    <d v="2017-08-05T00:00:00"/>
    <x v="0"/>
    <n v="8"/>
    <s v="ים/285/2016"/>
    <x v="0"/>
    <m/>
    <m/>
    <n v="0"/>
  </r>
  <r>
    <x v="0"/>
    <n v="25402229"/>
    <x v="0"/>
    <s v="מחיר למשתכן"/>
    <n v="4"/>
    <s v="מבשרת ציון"/>
    <x v="12"/>
    <d v="2017-08-05T00:00:00"/>
    <x v="0"/>
    <n v="8"/>
    <s v="ים/285/2016"/>
    <x v="0"/>
    <m/>
    <m/>
    <s v="אין הצעות למתחם זה"/>
  </r>
  <r>
    <x v="1167"/>
    <n v="25594356"/>
    <x v="0"/>
    <s v="מחיר למשתכן"/>
    <n v="5"/>
    <s v="מבשרת ציון"/>
    <x v="12"/>
    <d v="2017-08-05T00:00:00"/>
    <x v="0"/>
    <n v="8"/>
    <s v="ים/285/2016"/>
    <x v="0"/>
    <m/>
    <m/>
    <n v="0"/>
  </r>
  <r>
    <x v="184"/>
    <n v="1131261"/>
    <x v="0"/>
    <s v="  "/>
    <n v="42134"/>
    <s v="מג'ד אל כרום (שאג'ור)"/>
    <x v="13"/>
    <d v="2017-04-23T00:00:00"/>
    <x v="0"/>
    <n v="4"/>
    <s v="צפ/233/2016"/>
    <x v="0"/>
    <m/>
    <m/>
    <n v="35000"/>
  </r>
  <r>
    <x v="342"/>
    <n v="2733143"/>
    <x v="0"/>
    <s v="  "/>
    <n v="45111"/>
    <s v="מג'ד אל כרום (שאג'ור)"/>
    <x v="13"/>
    <d v="2017-04-23T00:00:00"/>
    <x v="0"/>
    <n v="4"/>
    <s v="צפ/233/2016"/>
    <x v="0"/>
    <m/>
    <m/>
    <n v="66666"/>
  </r>
  <r>
    <x v="164"/>
    <n v="1261010"/>
    <x v="0"/>
    <s v="  "/>
    <n v="45121"/>
    <s v="מג'ד אל כרום (שאג'ור)"/>
    <x v="13"/>
    <d v="2017-04-23T00:00:00"/>
    <x v="0"/>
    <n v="4"/>
    <s v="צפ/233/2016"/>
    <x v="0"/>
    <m/>
    <m/>
    <n v="30000"/>
  </r>
  <r>
    <x v="404"/>
    <n v="3249260"/>
    <x v="0"/>
    <s v="  "/>
    <n v="45138"/>
    <s v="מג'ד אל כרום (שאג'ור)"/>
    <x v="13"/>
    <d v="2017-04-23T00:00:00"/>
    <x v="0"/>
    <n v="4"/>
    <s v="צפ/233/2016"/>
    <x v="0"/>
    <m/>
    <m/>
    <n v="75555"/>
  </r>
  <r>
    <x v="0"/>
    <n v="2433110"/>
    <x v="0"/>
    <s v="  "/>
    <n v="45139"/>
    <s v="מג'ד אל כרום (שאג'ור)"/>
    <x v="13"/>
    <d v="2017-04-23T00:00:00"/>
    <x v="0"/>
    <n v="4"/>
    <s v="צפ/233/2016"/>
    <x v="0"/>
    <m/>
    <m/>
    <s v="אין הצעות למתחם זה"/>
  </r>
  <r>
    <x v="1168"/>
    <s v=""/>
    <x v="5"/>
    <s v="  "/>
    <n v="1"/>
    <s v="מודיעין-מכבים-רעות"/>
    <x v="14"/>
    <d v="2016-05-08T00:00:00"/>
    <x v="1"/>
    <n v="5"/>
    <s v="מר/8/2016"/>
    <x v="2"/>
    <m/>
    <m/>
    <n v="0"/>
  </r>
  <r>
    <x v="1169"/>
    <n v="19861097"/>
    <x v="0"/>
    <s v="מחיר למשתכן"/>
    <n v="31"/>
    <s v="מודיעין-מכבים-רעות"/>
    <x v="14"/>
    <d v="2017-03-29T00:00:00"/>
    <x v="0"/>
    <n v="3"/>
    <s v="מר/348/2016"/>
    <x v="1"/>
    <n v="90"/>
    <n v="6090"/>
    <n v="12948750"/>
  </r>
  <r>
    <x v="1170"/>
    <n v="24932273"/>
    <x v="0"/>
    <s v="מחיר למשתכן"/>
    <n v="26"/>
    <s v="מודיעין-מכבים-רעות"/>
    <x v="14"/>
    <d v="2017-03-29T00:00:00"/>
    <x v="0"/>
    <n v="3"/>
    <s v="מר/348/2016"/>
    <x v="1"/>
    <n v="99"/>
    <n v="8396"/>
    <n v="15973650"/>
  </r>
  <r>
    <x v="1171"/>
    <n v="19307403"/>
    <x v="0"/>
    <s v="מחיר למשתכן"/>
    <n v="11"/>
    <s v="מודיעין-מכבים-רעות"/>
    <x v="14"/>
    <d v="2017-03-29T00:00:00"/>
    <x v="0"/>
    <n v="3"/>
    <s v="מר/348/2016"/>
    <x v="1"/>
    <n v="90"/>
    <n v="5412"/>
    <n v="14913000"/>
  </r>
  <r>
    <x v="1171"/>
    <n v="32055809"/>
    <x v="0"/>
    <s v="מחיר למשתכן"/>
    <n v="29"/>
    <s v="מודיעין-מכבים-רעות"/>
    <x v="14"/>
    <d v="2017-03-29T00:00:00"/>
    <x v="0"/>
    <n v="3"/>
    <s v="מר/348/2016"/>
    <x v="1"/>
    <n v="152"/>
    <n v="8496"/>
    <n v="25186400"/>
  </r>
  <r>
    <x v="1172"/>
    <n v="21537486"/>
    <x v="0"/>
    <s v="מחיר למשתכן"/>
    <n v="13"/>
    <s v="מודיעין-מכבים-רעות"/>
    <x v="14"/>
    <d v="2017-03-29T00:00:00"/>
    <x v="0"/>
    <n v="3"/>
    <s v="מר/348/2016"/>
    <x v="1"/>
    <n v="99"/>
    <n v="7905"/>
    <n v="16716150"/>
  </r>
  <r>
    <x v="1172"/>
    <n v="40761979"/>
    <x v="0"/>
    <s v="מחיר למשתכן"/>
    <n v="21"/>
    <s v="מודיעין-מכבים-רעות"/>
    <x v="14"/>
    <d v="2017-03-29T00:00:00"/>
    <x v="0"/>
    <n v="3"/>
    <s v="מר/348/2016"/>
    <x v="1"/>
    <n v="170"/>
    <n v="17581"/>
    <n v="28704500"/>
  </r>
  <r>
    <x v="1173"/>
    <n v="31811018"/>
    <x v="0"/>
    <s v="מחיר למשתכן"/>
    <n v="8"/>
    <s v="מודיעין-מכבים-רעות"/>
    <x v="14"/>
    <d v="2017-03-29T00:00:00"/>
    <x v="0"/>
    <n v="3"/>
    <s v="מר/348/2016"/>
    <x v="1"/>
    <n v="136"/>
    <n v="11674"/>
    <n v="24901600"/>
  </r>
  <r>
    <x v="1174"/>
    <n v="21260646"/>
    <x v="0"/>
    <s v="מחיר למשתכן"/>
    <n v="9"/>
    <s v="מודיעין-מכבים-רעות"/>
    <x v="14"/>
    <d v="2017-03-29T00:00:00"/>
    <x v="0"/>
    <n v="3"/>
    <s v="מר/348/2016"/>
    <x v="1"/>
    <n v="96"/>
    <n v="7040"/>
    <n v="17649600"/>
  </r>
  <r>
    <x v="1174"/>
    <n v="21617234"/>
    <x v="0"/>
    <s v="מחיר למשתכן"/>
    <n v="10"/>
    <s v="מודיעין-מכבים-רעות"/>
    <x v="14"/>
    <d v="2017-03-29T00:00:00"/>
    <x v="0"/>
    <n v="3"/>
    <s v="מר/348/2016"/>
    <x v="1"/>
    <n v="96"/>
    <n v="7477"/>
    <n v="17649600"/>
  </r>
  <r>
    <x v="1174"/>
    <n v="27749123"/>
    <x v="0"/>
    <s v="מחיר למשתכן"/>
    <n v="16"/>
    <s v="מודיעין-מכבים-רעות"/>
    <x v="14"/>
    <d v="2017-03-29T00:00:00"/>
    <x v="0"/>
    <n v="3"/>
    <s v="מר/348/2016"/>
    <x v="1"/>
    <n v="129"/>
    <n v="9893"/>
    <n v="23716650"/>
  </r>
  <r>
    <x v="1175"/>
    <n v="14596993"/>
    <x v="0"/>
    <s v="מחיר למשתכן"/>
    <n v="27"/>
    <s v="מודיעין-מכבים-רעות"/>
    <x v="14"/>
    <d v="2017-03-29T00:00:00"/>
    <x v="0"/>
    <n v="3"/>
    <s v="מר/348/2016"/>
    <x v="1"/>
    <n v="56"/>
    <n v="7369"/>
    <n v="10392200"/>
  </r>
  <r>
    <x v="1176"/>
    <n v="23711186"/>
    <x v="0"/>
    <s v="מחיר למשתכן"/>
    <n v="23"/>
    <s v="מודיעין-מכבים-רעות"/>
    <x v="14"/>
    <d v="2017-03-29T00:00:00"/>
    <x v="0"/>
    <n v="3"/>
    <s v="מר/348/2016"/>
    <x v="1"/>
    <n v="110"/>
    <n v="8315"/>
    <n v="21048500"/>
  </r>
  <r>
    <x v="1177"/>
    <n v="27364353"/>
    <x v="0"/>
    <s v="מחיר למשתכן"/>
    <n v="18"/>
    <s v="מודיעין-מכבים-רעות"/>
    <x v="14"/>
    <d v="2017-03-29T00:00:00"/>
    <x v="0"/>
    <n v="3"/>
    <s v="מר/348/2016"/>
    <x v="1"/>
    <n v="117"/>
    <n v="11424"/>
    <n v="22405500"/>
  </r>
  <r>
    <x v="1178"/>
    <n v="23737288"/>
    <x v="0"/>
    <s v="מחיר למשתכן"/>
    <n v="4"/>
    <s v="מודיעין-מכבים-רעות"/>
    <x v="14"/>
    <d v="2017-03-29T00:00:00"/>
    <x v="0"/>
    <n v="3"/>
    <s v="מר/348/2016"/>
    <x v="1"/>
    <n v="102"/>
    <n v="9957"/>
    <n v="20282700"/>
  </r>
  <r>
    <x v="1178"/>
    <n v="41875914"/>
    <x v="0"/>
    <s v="מחיר למשתכן"/>
    <n v="30"/>
    <s v="מודיעין-מכבים-רעות"/>
    <x v="14"/>
    <d v="2017-03-29T00:00:00"/>
    <x v="0"/>
    <n v="3"/>
    <s v="מר/348/2016"/>
    <x v="1"/>
    <n v="205"/>
    <n v="12675"/>
    <n v="40764250"/>
  </r>
  <r>
    <x v="1179"/>
    <n v="33361536"/>
    <x v="0"/>
    <s v="מחיר למשתכן"/>
    <n v="17"/>
    <s v="מודיעין-מכבים-רעות"/>
    <x v="14"/>
    <d v="2017-03-29T00:00:00"/>
    <x v="0"/>
    <n v="3"/>
    <s v="מר/348/2016"/>
    <x v="1"/>
    <n v="158"/>
    <n v="11328"/>
    <n v="32034500"/>
  </r>
  <r>
    <x v="1180"/>
    <n v="10729111"/>
    <x v="0"/>
    <s v="מחיר למשתכן"/>
    <n v="28"/>
    <s v="מודיעין-מכבים-רעות"/>
    <x v="14"/>
    <d v="2017-03-29T00:00:00"/>
    <x v="0"/>
    <n v="3"/>
    <s v="מר/348/2016"/>
    <x v="1"/>
    <n v="49"/>
    <n v="3966"/>
    <n v="10019275"/>
  </r>
  <r>
    <x v="1181"/>
    <n v="27352036"/>
    <x v="0"/>
    <s v="מחיר למשתכן"/>
    <n v="22"/>
    <s v="מודיעין-מכבים-רעות"/>
    <x v="14"/>
    <d v="2017-03-29T00:00:00"/>
    <x v="0"/>
    <n v="3"/>
    <s v="מר/348/2016"/>
    <x v="1"/>
    <n v="121"/>
    <n v="10928"/>
    <n v="24968350"/>
  </r>
  <r>
    <x v="1181"/>
    <n v="40703553"/>
    <x v="0"/>
    <s v="מחיר למשתכן"/>
    <n v="20"/>
    <s v="מודיעין-מכבים-רעות"/>
    <x v="14"/>
    <d v="2017-03-29T00:00:00"/>
    <x v="0"/>
    <n v="3"/>
    <s v="מר/348/2016"/>
    <x v="1"/>
    <n v="188"/>
    <n v="14552"/>
    <n v="38793800"/>
  </r>
  <r>
    <x v="1181"/>
    <n v="46319666"/>
    <x v="0"/>
    <s v="מחיר למשתכן"/>
    <n v="7"/>
    <s v="מודיעין-מכבים-רעות"/>
    <x v="14"/>
    <d v="2017-03-29T00:00:00"/>
    <x v="0"/>
    <n v="3"/>
    <s v="מר/348/2016"/>
    <x v="1"/>
    <n v="216"/>
    <n v="16510"/>
    <n v="44571600"/>
  </r>
  <r>
    <x v="1182"/>
    <n v="20008911"/>
    <x v="0"/>
    <s v="מחיר למשתכן"/>
    <n v="5"/>
    <s v="מודיעין-מכבים-רעות"/>
    <x v="14"/>
    <d v="2017-03-29T00:00:00"/>
    <x v="0"/>
    <n v="3"/>
    <s v="מר/348/2016"/>
    <x v="1"/>
    <n v="94"/>
    <n v="6914"/>
    <n v="20101900"/>
  </r>
  <r>
    <x v="1183"/>
    <n v="16827394"/>
    <x v="0"/>
    <s v="מחיר למשתכן"/>
    <n v="32"/>
    <s v="מודיעין-מכבים-רעות"/>
    <x v="14"/>
    <d v="2017-03-29T00:00:00"/>
    <x v="0"/>
    <n v="3"/>
    <s v="מר/348/2016"/>
    <x v="1"/>
    <n v="94"/>
    <n v="2963"/>
    <n v="21779800"/>
  </r>
  <r>
    <x v="1184"/>
    <n v="15745367"/>
    <x v="0"/>
    <s v="מחיר למשתכן"/>
    <n v="6"/>
    <s v="מודיעין-מכבים-רעות"/>
    <x v="14"/>
    <d v="2017-03-29T00:00:00"/>
    <x v="0"/>
    <n v="3"/>
    <s v="מר/348/2016"/>
    <x v="1"/>
    <n v="72"/>
    <n v="5798"/>
    <n v="16795800"/>
  </r>
  <r>
    <x v="1185"/>
    <n v="15470393"/>
    <x v="0"/>
    <s v="מחיר למשתכן"/>
    <n v="24"/>
    <s v="מודיעין-מכבים-רעות"/>
    <x v="14"/>
    <d v="2017-03-29T00:00:00"/>
    <x v="0"/>
    <n v="3"/>
    <s v="מר/348/2016"/>
    <x v="1"/>
    <n v="79"/>
    <n v="4238"/>
    <n v="19086400"/>
  </r>
  <r>
    <x v="1186"/>
    <n v="24564072"/>
    <x v="0"/>
    <s v="מחיר למשתכן"/>
    <n v="12"/>
    <s v="מודיעין-מכבים-רעות"/>
    <x v="14"/>
    <d v="2017-03-29T00:00:00"/>
    <x v="0"/>
    <n v="3"/>
    <s v="מר/348/2016"/>
    <x v="1"/>
    <n v="112"/>
    <n v="9062"/>
    <n v="27949600"/>
  </r>
  <r>
    <x v="1187"/>
    <n v="34358453"/>
    <x v="0"/>
    <s v="מחיר למשתכן"/>
    <n v="19"/>
    <s v="מודיעין-מכבים-רעות"/>
    <x v="14"/>
    <d v="2017-03-29T00:00:00"/>
    <x v="0"/>
    <n v="3"/>
    <s v="מר/348/2016"/>
    <x v="1"/>
    <n v="170"/>
    <n v="10169"/>
    <n v="45279500"/>
  </r>
  <r>
    <x v="1188"/>
    <n v="25149081"/>
    <x v="0"/>
    <s v="מחיר למשתכן"/>
    <n v="33"/>
    <s v="מודיעין-מכבים-רעות"/>
    <x v="14"/>
    <d v="2017-03-29T00:00:00"/>
    <x v="0"/>
    <n v="3"/>
    <s v="מר/348/2016"/>
    <x v="1"/>
    <n v="141"/>
    <n v="433"/>
    <n v="38475375"/>
  </r>
  <r>
    <x v="1189"/>
    <n v="29618647"/>
    <x v="0"/>
    <s v="מחיר למשתכן"/>
    <n v="14"/>
    <s v="מודיעין-מכבים-רעות"/>
    <x v="14"/>
    <d v="2017-03-29T00:00:00"/>
    <x v="0"/>
    <n v="3"/>
    <s v="מר/348/2016"/>
    <x v="1"/>
    <n v="155"/>
    <n v="7180"/>
    <n v="42446750"/>
  </r>
  <r>
    <x v="1190"/>
    <n v="16905892"/>
    <x v="0"/>
    <s v="מחיר למשתכן"/>
    <n v="25"/>
    <s v="מודיעין-מכבים-רעות"/>
    <x v="14"/>
    <d v="2017-03-29T00:00:00"/>
    <x v="0"/>
    <n v="3"/>
    <s v="מר/348/2016"/>
    <x v="1"/>
    <n v="87"/>
    <n v="4495"/>
    <n v="24209925"/>
  </r>
  <r>
    <x v="1191"/>
    <n v="23320173"/>
    <x v="0"/>
    <s v="מחיר למשתכן"/>
    <n v="15"/>
    <s v="מודיעין-מכבים-רעות"/>
    <x v="14"/>
    <d v="2017-03-29T00:00:00"/>
    <x v="0"/>
    <n v="3"/>
    <s v="מר/348/2016"/>
    <x v="1"/>
    <n v="124"/>
    <n v="5284"/>
    <n v="36719500"/>
  </r>
  <r>
    <x v="1192"/>
    <n v="1474324"/>
    <x v="0"/>
    <s v="  "/>
    <s v="ז"/>
    <s v="מודיעין-מכבים-רעות, נופים"/>
    <x v="14"/>
    <d v="2014-12-31T00:00:00"/>
    <x v="2"/>
    <n v="12"/>
    <s v="מר/144/2014"/>
    <x v="1"/>
    <n v="6"/>
    <n v="820"/>
    <n v="2500010"/>
  </r>
  <r>
    <x v="1193"/>
    <n v="2850615"/>
    <x v="0"/>
    <s v="  "/>
    <s v="ו"/>
    <s v="מודיעין-מכבים-רעות, נופים"/>
    <x v="14"/>
    <d v="2014-12-31T00:00:00"/>
    <x v="2"/>
    <n v="12"/>
    <s v="מר/144/2014"/>
    <x v="1"/>
    <n v="12"/>
    <n v="1564"/>
    <n v="4080000"/>
  </r>
  <r>
    <x v="1194"/>
    <n v="1890493"/>
    <x v="3"/>
    <s v="  "/>
    <n v="17"/>
    <s v="מודיעין-מכבים-רעות"/>
    <x v="14"/>
    <d v="2014-11-02T00:00:00"/>
    <x v="2"/>
    <n v="11"/>
    <s v="מר/89/2014"/>
    <x v="2"/>
    <m/>
    <n v="7056"/>
    <n v="4530000"/>
  </r>
  <r>
    <x v="1195"/>
    <n v="2954511"/>
    <x v="0"/>
    <s v="  "/>
    <s v="ג"/>
    <s v="מודיעין-מכבים-רעות, נופים"/>
    <x v="14"/>
    <d v="2014-12-31T00:00:00"/>
    <x v="2"/>
    <n v="12"/>
    <s v="מר/144/2014"/>
    <x v="1"/>
    <n v="12"/>
    <n v="1706"/>
    <n v="4615000"/>
  </r>
  <r>
    <x v="1196"/>
    <n v="5159161"/>
    <x v="0"/>
    <s v="  "/>
    <s v="טז"/>
    <s v="מודיעין-מכבים-רעות, נופים"/>
    <x v="14"/>
    <d v="2014-12-31T00:00:00"/>
    <x v="2"/>
    <n v="12"/>
    <s v="מר/144/2014"/>
    <x v="1"/>
    <n v="24"/>
    <n v="2677"/>
    <n v="5004000"/>
  </r>
  <r>
    <x v="1197"/>
    <n v="6660411"/>
    <x v="0"/>
    <s v="  "/>
    <s v="יב"/>
    <s v="מודיעין-מכבים-רעות, נופים"/>
    <x v="14"/>
    <d v="2014-12-31T00:00:00"/>
    <x v="2"/>
    <n v="12"/>
    <s v="מר/144/2014"/>
    <x v="1"/>
    <n v="30"/>
    <n v="3645"/>
    <n v="5600000"/>
  </r>
  <r>
    <x v="1198"/>
    <n v="5031991"/>
    <x v="0"/>
    <s v="  "/>
    <s v="ט"/>
    <s v="מודיעין-מכבים-רעות, נופים"/>
    <x v="14"/>
    <d v="2014-12-31T00:00:00"/>
    <x v="2"/>
    <n v="12"/>
    <s v="מר/144/2014"/>
    <x v="1"/>
    <n v="22"/>
    <n v="2573"/>
    <n v="5700075"/>
  </r>
  <r>
    <x v="1199"/>
    <n v="3060336"/>
    <x v="3"/>
    <s v="  "/>
    <n v="18"/>
    <s v="מודיעין-מכבים-רעות"/>
    <x v="14"/>
    <d v="2014-11-02T00:00:00"/>
    <x v="2"/>
    <n v="11"/>
    <s v="מר/89/2014"/>
    <x v="2"/>
    <m/>
    <n v="11349"/>
    <n v="6215555"/>
  </r>
  <r>
    <x v="1200"/>
    <n v="1738407"/>
    <x v="3"/>
    <s v="  "/>
    <s v="70א "/>
    <s v="מודיעין-מכבים-רעות"/>
    <x v="14"/>
    <d v="2015-08-30T00:00:00"/>
    <x v="3"/>
    <n v="8"/>
    <s v="מר/63/2015"/>
    <x v="2"/>
    <m/>
    <n v="6377"/>
    <n v="6877777"/>
  </r>
  <r>
    <x v="1201"/>
    <n v="5129074"/>
    <x v="0"/>
    <s v="  "/>
    <s v="ד"/>
    <s v="מודיעין-מכבים-רעות, נופים"/>
    <x v="14"/>
    <d v="2014-12-31T00:00:00"/>
    <x v="2"/>
    <n v="12"/>
    <s v="מר/144/2014"/>
    <x v="1"/>
    <n v="24"/>
    <n v="2346"/>
    <n v="7126000"/>
  </r>
  <r>
    <x v="1202"/>
    <n v="1338404"/>
    <x v="3"/>
    <s v="  "/>
    <n v="69"/>
    <s v="מודיעין-מכבים-רעות, אזור תעסוקה"/>
    <x v="14"/>
    <d v="2016-11-27T00:00:00"/>
    <x v="1"/>
    <n v="11"/>
    <s v="מר/155/2016"/>
    <x v="2"/>
    <m/>
    <n v="4492"/>
    <n v="8004000"/>
  </r>
  <r>
    <x v="1203"/>
    <n v="2088379"/>
    <x v="3"/>
    <s v="  "/>
    <s v="70ב "/>
    <s v="מודיעין-מכבים-רעות"/>
    <x v="14"/>
    <d v="2015-08-30T00:00:00"/>
    <x v="3"/>
    <n v="8"/>
    <s v="מר/63/2015"/>
    <x v="2"/>
    <m/>
    <n v="7660"/>
    <n v="8411630"/>
  </r>
  <r>
    <x v="1204"/>
    <n v="2114293"/>
    <x v="3"/>
    <s v="  "/>
    <n v="66"/>
    <s v="מודיעין-מכבים-רעות"/>
    <x v="14"/>
    <d v="2015-08-30T00:00:00"/>
    <x v="3"/>
    <n v="8"/>
    <s v="מר/63/2015"/>
    <x v="2"/>
    <m/>
    <n v="7756"/>
    <n v="8581238"/>
  </r>
  <r>
    <x v="1205"/>
    <n v="8913543"/>
    <x v="0"/>
    <s v="  "/>
    <s v="כו"/>
    <s v="מודיעין-מכבים-רעות, נופים"/>
    <x v="14"/>
    <d v="2014-12-31T00:00:00"/>
    <x v="2"/>
    <n v="12"/>
    <s v="מר/144/2014"/>
    <x v="1"/>
    <n v="48"/>
    <n v="3060"/>
    <n v="9005000"/>
  </r>
  <r>
    <x v="1206"/>
    <n v="6782655"/>
    <x v="0"/>
    <s v="  "/>
    <s v="ח"/>
    <s v="מודיעין-מכבים-רעות, נופים"/>
    <x v="14"/>
    <d v="2014-12-31T00:00:00"/>
    <x v="2"/>
    <n v="12"/>
    <s v="מר/144/2014"/>
    <x v="1"/>
    <n v="30"/>
    <n v="3411"/>
    <n v="9390000"/>
  </r>
  <r>
    <x v="1207"/>
    <n v="2126718"/>
    <x v="3"/>
    <s v="  "/>
    <n v="67"/>
    <s v="מודיעין-מכבים-רעות, אזור תעסוקה"/>
    <x v="14"/>
    <d v="2016-11-27T00:00:00"/>
    <x v="1"/>
    <n v="11"/>
    <s v="מר/155/2016"/>
    <x v="2"/>
    <m/>
    <n v="7138"/>
    <n v="9809218"/>
  </r>
  <r>
    <x v="1208"/>
    <n v="5042006"/>
    <x v="0"/>
    <s v="  "/>
    <s v="א"/>
    <s v="מודיעין-מכבים-רעות, נופים"/>
    <x v="14"/>
    <d v="2014-12-31T00:00:00"/>
    <x v="2"/>
    <n v="12"/>
    <s v="מר/144/2014"/>
    <x v="1"/>
    <n v="24"/>
    <n v="2227"/>
    <n v="9840000"/>
  </r>
  <r>
    <x v="1209"/>
    <n v="9930351"/>
    <x v="0"/>
    <s v="  "/>
    <s v="יט"/>
    <s v="מודיעין-מכבים-רעות, נופים"/>
    <x v="14"/>
    <d v="2014-12-31T00:00:00"/>
    <x v="2"/>
    <n v="12"/>
    <s v="מר/144/2014"/>
    <x v="1"/>
    <n v="46"/>
    <n v="5198"/>
    <n v="9910018"/>
  </r>
  <r>
    <x v="1210"/>
    <n v="8701063"/>
    <x v="2"/>
    <s v="  "/>
    <n v="107"/>
    <s v="מודיעין-מכבים-רעות, מע&quot;ר מודיעין"/>
    <x v="14"/>
    <d v="2015-10-26T00:00:00"/>
    <x v="3"/>
    <n v="10"/>
    <s v="מר/112/2015"/>
    <x v="1"/>
    <m/>
    <n v="3738"/>
    <n v="10450296"/>
  </r>
  <r>
    <x v="1211"/>
    <n v="9794988"/>
    <x v="0"/>
    <s v="  "/>
    <s v="יח"/>
    <s v="מודיעין-מכבים-רעות, נופים"/>
    <x v="14"/>
    <d v="2014-12-31T00:00:00"/>
    <x v="2"/>
    <n v="12"/>
    <s v="מר/144/2014"/>
    <x v="1"/>
    <n v="44"/>
    <n v="5361"/>
    <n v="10665000"/>
  </r>
  <r>
    <x v="1212"/>
    <n v="12817427"/>
    <x v="0"/>
    <s v="  "/>
    <s v="יז"/>
    <s v="מודיעין-מכבים-רעות, נופים"/>
    <x v="14"/>
    <d v="2014-12-31T00:00:00"/>
    <x v="2"/>
    <n v="12"/>
    <s v="מר/144/2014"/>
    <x v="1"/>
    <n v="56"/>
    <n v="7298"/>
    <n v="10703000"/>
  </r>
  <r>
    <x v="1213"/>
    <n v="8112347"/>
    <x v="0"/>
    <s v="  "/>
    <s v="ה"/>
    <s v="מודיעין-מכבים-רעות, נופים"/>
    <x v="14"/>
    <d v="2014-12-31T00:00:00"/>
    <x v="2"/>
    <n v="12"/>
    <s v="מר/144/2014"/>
    <x v="1"/>
    <n v="34"/>
    <n v="4451"/>
    <n v="10900000"/>
  </r>
  <r>
    <x v="1214"/>
    <n v="3011183"/>
    <x v="3"/>
    <s v="  "/>
    <n v="71"/>
    <s v="מודיעין-מכבים-רעות"/>
    <x v="14"/>
    <d v="2015-08-30T00:00:00"/>
    <x v="3"/>
    <n v="8"/>
    <s v="מר/63/2015"/>
    <x v="2"/>
    <m/>
    <n v="11050"/>
    <n v="11353805"/>
  </r>
  <r>
    <x v="1215"/>
    <n v="8972077"/>
    <x v="0"/>
    <s v="  "/>
    <s v="כז"/>
    <s v="מודיעין-מכבים-רעות, נופים"/>
    <x v="14"/>
    <d v="2014-12-31T00:00:00"/>
    <x v="2"/>
    <n v="12"/>
    <s v="מר/144/2014"/>
    <x v="1"/>
    <n v="48"/>
    <n v="3140"/>
    <n v="12160416"/>
  </r>
  <r>
    <x v="1216"/>
    <n v="12130082"/>
    <x v="0"/>
    <s v="  "/>
    <s v="כד"/>
    <s v="מודיעין-מכבים-רעות, נופים"/>
    <x v="14"/>
    <d v="2014-12-31T00:00:00"/>
    <x v="2"/>
    <n v="12"/>
    <s v="מר/144/2014"/>
    <x v="1"/>
    <n v="54"/>
    <n v="6734"/>
    <n v="13077777"/>
  </r>
  <r>
    <x v="1217"/>
    <n v="3303873"/>
    <x v="3"/>
    <s v="  "/>
    <n v="65"/>
    <s v="מודיעין-מכבים-רעות"/>
    <x v="14"/>
    <d v="2015-08-30T00:00:00"/>
    <x v="3"/>
    <n v="8"/>
    <s v="מר/63/2015"/>
    <x v="2"/>
    <m/>
    <n v="12124"/>
    <n v="13799999"/>
  </r>
  <r>
    <x v="1218"/>
    <n v="15291148"/>
    <x v="0"/>
    <s v="  "/>
    <s v="כג"/>
    <s v="מודיעין-מכבים-רעות, נופים"/>
    <x v="14"/>
    <d v="2014-12-31T00:00:00"/>
    <x v="2"/>
    <n v="12"/>
    <s v="מר/144/2014"/>
    <x v="1"/>
    <n v="62"/>
    <n v="9583"/>
    <n v="14000018"/>
  </r>
  <r>
    <x v="1219"/>
    <n v="10929546"/>
    <x v="2"/>
    <s v="  "/>
    <n v="106"/>
    <s v="מודיעין-מכבים-רעות, מע&quot;ר מודיעין"/>
    <x v="14"/>
    <d v="2015-10-26T00:00:00"/>
    <x v="3"/>
    <n v="10"/>
    <s v="מר/112/2015"/>
    <x v="1"/>
    <m/>
    <n v="4491"/>
    <n v="14321580"/>
  </r>
  <r>
    <x v="1220"/>
    <n v="25672630"/>
    <x v="6"/>
    <s v="  "/>
    <n v="102"/>
    <s v="מודיעין-מכבים-רעות"/>
    <x v="14"/>
    <d v="2015-12-30T00:00:00"/>
    <x v="3"/>
    <n v="12"/>
    <s v="מר/243/2015"/>
    <x v="1"/>
    <n v="220"/>
    <n v="4780"/>
    <n v="15100000"/>
  </r>
  <r>
    <x v="1221"/>
    <n v="2593922"/>
    <x v="3"/>
    <s v="  "/>
    <s v="63ב "/>
    <s v="מודיעין-מכבים-רעות, אזור תעסוקה"/>
    <x v="14"/>
    <d v="2016-11-27T00:00:00"/>
    <x v="1"/>
    <n v="11"/>
    <s v="מר/155/2016"/>
    <x v="2"/>
    <m/>
    <n v="8709"/>
    <n v="15259555"/>
  </r>
  <r>
    <x v="1222"/>
    <n v="15410571"/>
    <x v="0"/>
    <s v="  "/>
    <n v="38084"/>
    <s v="מודיעין-מכבים-רעות, מע&quot;ר"/>
    <x v="14"/>
    <d v="2015-07-05T00:00:00"/>
    <x v="3"/>
    <n v="7"/>
    <s v="מר/398/2014"/>
    <x v="1"/>
    <n v="69"/>
    <n v="8032"/>
    <n v="15450000"/>
  </r>
  <r>
    <x v="1223"/>
    <n v="12162356"/>
    <x v="0"/>
    <s v="  "/>
    <s v="יד"/>
    <s v="מודיעין-מכבים-רעות, נופים"/>
    <x v="14"/>
    <d v="2014-12-31T00:00:00"/>
    <x v="2"/>
    <n v="12"/>
    <s v="מר/144/2014"/>
    <x v="1"/>
    <n v="60"/>
    <n v="5709"/>
    <n v="15508542"/>
  </r>
  <r>
    <x v="1224"/>
    <n v="10307379"/>
    <x v="0"/>
    <s v="  "/>
    <n v="3"/>
    <s v="מודיעין-מכבים-רעות, מע&quot;ר"/>
    <x v="14"/>
    <d v="2015-03-29T00:00:00"/>
    <x v="3"/>
    <n v="3"/>
    <s v="מר/377/2014"/>
    <x v="1"/>
    <n v="44"/>
    <n v="3859"/>
    <n v="15555555"/>
  </r>
  <r>
    <x v="1225"/>
    <n v="11979441"/>
    <x v="0"/>
    <s v="  "/>
    <s v="יג"/>
    <s v="מודיעין-מכבים-רעות, נופים"/>
    <x v="14"/>
    <d v="2014-12-31T00:00:00"/>
    <x v="2"/>
    <n v="12"/>
    <s v="מר/144/2014"/>
    <x v="1"/>
    <n v="60"/>
    <n v="5459"/>
    <n v="15845000"/>
  </r>
  <r>
    <x v="1226"/>
    <n v="18161751"/>
    <x v="6"/>
    <s v="  "/>
    <n v="20762"/>
    <s v="מודיעין-מכבים-רעות, בוכמן"/>
    <x v="14"/>
    <d v="2016-05-22T00:00:00"/>
    <x v="1"/>
    <n v="5"/>
    <s v="מר/201/2015"/>
    <x v="2"/>
    <m/>
    <m/>
    <n v="16064444"/>
  </r>
  <r>
    <x v="1227"/>
    <n v="7163293"/>
    <x v="3"/>
    <s v="  "/>
    <n v="13"/>
    <s v="מודיעין-מכבים-רעות"/>
    <x v="14"/>
    <d v="2014-11-02T00:00:00"/>
    <x v="2"/>
    <n v="11"/>
    <s v="מר/89/2014"/>
    <x v="2"/>
    <m/>
    <n v="26513"/>
    <n v="16400000"/>
  </r>
  <r>
    <x v="1228"/>
    <n v="13924295"/>
    <x v="2"/>
    <s v="  "/>
    <n v="105"/>
    <s v="מודיעין-מכבים-רעות, מע&quot;ר מודיעין"/>
    <x v="14"/>
    <d v="2015-10-26T00:00:00"/>
    <x v="3"/>
    <n v="10"/>
    <s v="מר/112/2015"/>
    <x v="1"/>
    <m/>
    <n v="5590"/>
    <n v="17255555"/>
  </r>
  <r>
    <x v="1229"/>
    <n v="12450904"/>
    <x v="6"/>
    <s v="  "/>
    <s v="N9"/>
    <s v="מודיעין-מכבים-רעות"/>
    <x v="14"/>
    <d v="2016-11-27T00:00:00"/>
    <x v="1"/>
    <n v="11"/>
    <s v="מר/177/2016"/>
    <x v="1"/>
    <n v="120"/>
    <n v="2496"/>
    <n v="18888052"/>
  </r>
  <r>
    <x v="1230"/>
    <n v="9623771"/>
    <x v="2"/>
    <s v="  "/>
    <n v="108"/>
    <s v="מודיעין-מכבים-רעות, מע&quot;ר מודיעין"/>
    <x v="14"/>
    <d v="2015-10-26T00:00:00"/>
    <x v="3"/>
    <n v="10"/>
    <s v="מר/112/2015"/>
    <x v="1"/>
    <m/>
    <n v="4851"/>
    <n v="19888800"/>
  </r>
  <r>
    <x v="1231"/>
    <n v="3394461"/>
    <x v="3"/>
    <s v="  "/>
    <s v="63א "/>
    <s v="מודיעין-מכבים-רעות, אזור תעסוקה"/>
    <x v="14"/>
    <d v="2016-11-27T00:00:00"/>
    <x v="1"/>
    <n v="11"/>
    <s v="מר/155/2016"/>
    <x v="2"/>
    <m/>
    <n v="11397"/>
    <n v="19969555"/>
  </r>
  <r>
    <x v="1232"/>
    <n v="21785029"/>
    <x v="0"/>
    <s v="  "/>
    <n v="38080"/>
    <s v="מודיעין-מכבים-רעות, מע&quot;ר"/>
    <x v="14"/>
    <d v="2015-07-05T00:00:00"/>
    <x v="3"/>
    <n v="7"/>
    <s v="מר/398/2014"/>
    <x v="1"/>
    <n v="118"/>
    <n v="7554"/>
    <n v="20000000"/>
  </r>
  <r>
    <x v="1233"/>
    <n v="8937196"/>
    <x v="0"/>
    <s v="  "/>
    <s v="ב"/>
    <s v="מודיעין-מכבים-רעות, נופים"/>
    <x v="14"/>
    <d v="2014-12-31T00:00:00"/>
    <x v="2"/>
    <n v="12"/>
    <s v="מר/144/2014"/>
    <x v="1"/>
    <n v="38"/>
    <n v="4801"/>
    <n v="20140000"/>
  </r>
  <r>
    <x v="1234"/>
    <n v="18519042"/>
    <x v="0"/>
    <s v="  "/>
    <s v="כה"/>
    <s v="מודיעין-מכבים-רעות, נופים"/>
    <x v="14"/>
    <d v="2014-12-31T00:00:00"/>
    <x v="2"/>
    <n v="12"/>
    <s v="מר/144/2014"/>
    <x v="1"/>
    <n v="82"/>
    <n v="10356"/>
    <n v="20501000"/>
  </r>
  <r>
    <x v="1235"/>
    <n v="16319951"/>
    <x v="0"/>
    <s v="  "/>
    <s v="יא"/>
    <s v="מודיעין-מכבים-רעות, נופים"/>
    <x v="14"/>
    <d v="2014-12-31T00:00:00"/>
    <x v="2"/>
    <n v="12"/>
    <s v="מר/144/2014"/>
    <x v="1"/>
    <n v="85"/>
    <n v="6830"/>
    <n v="20666666"/>
  </r>
  <r>
    <x v="1236"/>
    <n v="21552604"/>
    <x v="0"/>
    <s v="  "/>
    <s v="כח"/>
    <s v="מודיעין-מכבים-רעות, נופים"/>
    <x v="14"/>
    <d v="2014-12-31T00:00:00"/>
    <x v="2"/>
    <n v="12"/>
    <s v="מר/144/2014"/>
    <x v="1"/>
    <n v="112"/>
    <n v="8237"/>
    <n v="22512360"/>
  </r>
  <r>
    <x v="1237"/>
    <n v="13594162"/>
    <x v="0"/>
    <s v="  "/>
    <n v="42116"/>
    <s v="מודיעין-מכבים-רעות"/>
    <x v="14"/>
    <d v="2017-03-21T00:00:00"/>
    <x v="0"/>
    <n v="3"/>
    <s v="מר/141/2016"/>
    <x v="2"/>
    <m/>
    <m/>
    <n v="22600000"/>
  </r>
  <r>
    <x v="1238"/>
    <n v="19009384"/>
    <x v="0"/>
    <s v="  "/>
    <n v="38085"/>
    <s v="מודיעין-מכבים-רעות, מע&quot;ר"/>
    <x v="14"/>
    <d v="2015-07-05T00:00:00"/>
    <x v="3"/>
    <n v="7"/>
    <s v="מר/398/2014"/>
    <x v="1"/>
    <n v="92"/>
    <n v="8710"/>
    <n v="23103333"/>
  </r>
  <r>
    <x v="1239"/>
    <n v="13527109"/>
    <x v="2"/>
    <s v="  "/>
    <n v="104"/>
    <s v="מודיעין-מכבים-רעות, מע&quot;ר מודיעין"/>
    <x v="14"/>
    <d v="2015-10-26T00:00:00"/>
    <x v="3"/>
    <n v="10"/>
    <s v="מר/112/2015"/>
    <x v="1"/>
    <m/>
    <n v="5461"/>
    <n v="23118118"/>
  </r>
  <r>
    <x v="1240"/>
    <n v="4040258"/>
    <x v="3"/>
    <s v="  "/>
    <n v="62"/>
    <s v="מודיעין-מכבים-רעות, אזור תעסוקה"/>
    <x v="14"/>
    <d v="2016-11-27T00:00:00"/>
    <x v="1"/>
    <n v="11"/>
    <s v="מר/155/2016"/>
    <x v="2"/>
    <m/>
    <n v="13558"/>
    <n v="23754555"/>
  </r>
  <r>
    <x v="1241"/>
    <n v="14548931"/>
    <x v="0"/>
    <s v="  "/>
    <s v="כא"/>
    <s v="מודיעין-מכבים-רעות, נופים"/>
    <x v="14"/>
    <d v="2014-12-31T00:00:00"/>
    <x v="2"/>
    <n v="12"/>
    <s v="מר/144/2014"/>
    <x v="1"/>
    <n v="64"/>
    <n v="8220"/>
    <n v="23999999"/>
  </r>
  <r>
    <x v="1242"/>
    <n v="4147294"/>
    <x v="3"/>
    <s v="  "/>
    <n v="61"/>
    <s v="מודיעין-מכבים-רעות, אזור תעסוקה"/>
    <x v="14"/>
    <d v="2016-11-27T00:00:00"/>
    <x v="1"/>
    <n v="11"/>
    <s v="מר/155/2016"/>
    <x v="2"/>
    <m/>
    <n v="13917"/>
    <n v="24383555"/>
  </r>
  <r>
    <x v="1243"/>
    <n v="23460655"/>
    <x v="0"/>
    <s v="  "/>
    <n v="38081"/>
    <s v="מודיעין-מכבים-רעות, מע&quot;ר"/>
    <x v="14"/>
    <d v="2015-07-05T00:00:00"/>
    <x v="3"/>
    <n v="7"/>
    <s v="מר/398/2014"/>
    <x v="1"/>
    <n v="120"/>
    <n v="9201"/>
    <n v="25000000"/>
  </r>
  <r>
    <x v="1244"/>
    <n v="20090056"/>
    <x v="3"/>
    <s v="  "/>
    <n v="502"/>
    <s v="מודיעין-מכבים-רעות, אזור תעסוקה"/>
    <x v="14"/>
    <d v="2016-11-27T00:00:00"/>
    <x v="1"/>
    <n v="11"/>
    <s v="מר/155/2016"/>
    <x v="2"/>
    <m/>
    <n v="20555"/>
    <n v="26000555"/>
  </r>
  <r>
    <x v="1245"/>
    <n v="17870281"/>
    <x v="0"/>
    <s v="  "/>
    <n v="1"/>
    <s v="מודיעין-מכבים-רעות, מע&quot;ר"/>
    <x v="14"/>
    <d v="2015-03-29T00:00:00"/>
    <x v="3"/>
    <n v="3"/>
    <s v="מר/377/2014"/>
    <x v="1"/>
    <n v="92"/>
    <n v="6203"/>
    <n v="26280777"/>
  </r>
  <r>
    <x v="1246"/>
    <n v="22852332"/>
    <x v="0"/>
    <s v="  "/>
    <s v="טו"/>
    <s v="מודיעין-מכבים-רעות, נופים"/>
    <x v="14"/>
    <d v="2014-12-31T00:00:00"/>
    <x v="2"/>
    <n v="12"/>
    <s v="מר/144/2014"/>
    <x v="1"/>
    <n v="117"/>
    <n v="9947"/>
    <n v="28318318"/>
  </r>
  <r>
    <x v="1247"/>
    <n v="24646293"/>
    <x v="0"/>
    <s v="  "/>
    <s v="כב"/>
    <s v="מודיעין-מכבים-רעות, נופים"/>
    <x v="14"/>
    <d v="2014-12-31T00:00:00"/>
    <x v="2"/>
    <n v="12"/>
    <s v="מר/144/2014"/>
    <x v="1"/>
    <n v="112"/>
    <n v="13272"/>
    <n v="29000500"/>
  </r>
  <r>
    <x v="1248"/>
    <n v="5389694"/>
    <x v="3"/>
    <s v="  "/>
    <n v="64"/>
    <s v="מודיעין-מכבים-רעות, אזור תעסוקה"/>
    <x v="14"/>
    <d v="2016-11-27T00:00:00"/>
    <x v="1"/>
    <n v="11"/>
    <s v="מר/155/2016"/>
    <x v="2"/>
    <m/>
    <n v="18096"/>
    <n v="29897555"/>
  </r>
  <r>
    <x v="1249"/>
    <n v="21529921"/>
    <x v="0"/>
    <s v="  "/>
    <n v="38082"/>
    <s v="מודיעין-מכבים-רעות, מע&quot;ר"/>
    <x v="14"/>
    <d v="2015-07-05T00:00:00"/>
    <x v="3"/>
    <n v="7"/>
    <s v="מר/398/2014"/>
    <x v="1"/>
    <n v="120"/>
    <n v="6807"/>
    <n v="30000000"/>
  </r>
  <r>
    <x v="1250"/>
    <n v="20221331"/>
    <x v="0"/>
    <s v="  "/>
    <n v="2"/>
    <s v="מודיעין-מכבים-רעות, מע&quot;ר"/>
    <x v="14"/>
    <d v="2015-03-29T00:00:00"/>
    <x v="3"/>
    <n v="3"/>
    <s v="מר/377/2014"/>
    <x v="1"/>
    <n v="88"/>
    <n v="6459"/>
    <n v="31220150"/>
  </r>
  <r>
    <x v="1251"/>
    <n v="19321211"/>
    <x v="0"/>
    <s v="  "/>
    <s v="כ"/>
    <s v="מודיעין-מכבים-רעות, נופים"/>
    <x v="14"/>
    <d v="2014-12-31T00:00:00"/>
    <x v="2"/>
    <n v="12"/>
    <s v="מר/144/2014"/>
    <x v="1"/>
    <n v="86"/>
    <n v="10716"/>
    <n v="31363636"/>
  </r>
  <r>
    <x v="1252"/>
    <n v="19933589"/>
    <x v="0"/>
    <s v="  "/>
    <s v="י"/>
    <s v="מודיעין-מכבים-רעות, נופים"/>
    <x v="14"/>
    <d v="2014-12-31T00:00:00"/>
    <x v="2"/>
    <n v="12"/>
    <s v="מר/144/2014"/>
    <x v="1"/>
    <n v="105"/>
    <n v="8160"/>
    <n v="31710017"/>
  </r>
  <r>
    <x v="1253"/>
    <n v="34095569"/>
    <x v="0"/>
    <s v="  "/>
    <n v="38083"/>
    <s v="מודיעין-מכבים-רעות, מע&quot;ר"/>
    <x v="14"/>
    <d v="2015-07-05T00:00:00"/>
    <x v="3"/>
    <n v="7"/>
    <s v="מר/398/2014"/>
    <x v="1"/>
    <n v="178"/>
    <n v="12729"/>
    <n v="42840000"/>
  </r>
  <r>
    <x v="1254"/>
    <n v="38394728"/>
    <x v="0"/>
    <s v="  "/>
    <s v="כט"/>
    <s v="מודיעין-מכבים-רעות, נופים"/>
    <x v="14"/>
    <d v="2014-12-31T00:00:00"/>
    <x v="2"/>
    <n v="12"/>
    <s v="מר/144/2014"/>
    <x v="1"/>
    <n v="228"/>
    <n v="9762"/>
    <n v="54720000"/>
  </r>
  <r>
    <x v="1255"/>
    <n v="10100794"/>
    <x v="3"/>
    <s v="  "/>
    <n v="73"/>
    <s v="מודיעין-מכבים-רעות, אזור תעסוקה"/>
    <x v="14"/>
    <d v="2016-11-27T00:00:00"/>
    <x v="1"/>
    <n v="11"/>
    <s v="מר/155/2016"/>
    <x v="2"/>
    <m/>
    <n v="33914"/>
    <n v="56523345"/>
  </r>
  <r>
    <x v="1256"/>
    <n v="39789350"/>
    <x v="0"/>
    <s v="  "/>
    <n v="4"/>
    <s v="מודיעין-מכבים-רעות, מע&quot;ר"/>
    <x v="14"/>
    <d v="2015-03-29T00:00:00"/>
    <x v="3"/>
    <n v="3"/>
    <s v="מר/377/2014"/>
    <x v="1"/>
    <n v="196"/>
    <n v="13884"/>
    <n v="81918000"/>
  </r>
  <r>
    <x v="0"/>
    <n v="33290118"/>
    <x v="6"/>
    <s v="  "/>
    <s v="א"/>
    <s v="מודיעין-מכבים-רעות"/>
    <x v="14"/>
    <d v="2017-05-16T00:00:00"/>
    <x v="0"/>
    <n v="5"/>
    <s v="מר/4/2017"/>
    <x v="3"/>
    <m/>
    <m/>
    <s v="אין הצעות למתחם זה"/>
  </r>
  <r>
    <x v="1257"/>
    <n v="6429996"/>
    <x v="0"/>
    <s v="  "/>
    <s v="א"/>
    <s v="מעלות תרשיחא, כזיב"/>
    <x v="15"/>
    <d v="2017-05-16T00:00:00"/>
    <x v="0"/>
    <n v="5"/>
    <s v="צפ/382/2016"/>
    <x v="1"/>
    <n v="48"/>
    <n v="6709"/>
    <n v="1177000"/>
  </r>
  <r>
    <x v="1258"/>
    <n v="20878044"/>
    <x v="0"/>
    <s v="  "/>
    <s v="א"/>
    <s v="מעלות תרשיחא, נוף אגם"/>
    <x v="15"/>
    <d v="2017-04-23T00:00:00"/>
    <x v="0"/>
    <n v="4"/>
    <s v="צפ/384/2016"/>
    <x v="1"/>
    <n v="69"/>
    <n v="17990"/>
    <n v="177777"/>
  </r>
  <r>
    <x v="0"/>
    <n v="17872510"/>
    <x v="0"/>
    <s v="מחיר למשתכן"/>
    <n v="200"/>
    <s v="מעלות תרשיחא, נוף אגם"/>
    <x v="15"/>
    <d v="2017-03-04T00:00:00"/>
    <x v="0"/>
    <n v="3"/>
    <s v="צפ/383/2016 "/>
    <x v="1"/>
    <n v="116"/>
    <n v="19883"/>
    <s v="אין הצעות למתחם זה"/>
  </r>
  <r>
    <x v="1259"/>
    <n v="14758558"/>
    <x v="0"/>
    <s v="מחיר למשתכן"/>
    <s v="א"/>
    <s v="נתניה, אגם3"/>
    <x v="16"/>
    <d v="2016-12-29T00:00:00"/>
    <x v="1"/>
    <n v="12"/>
    <s v="מר/199/2016"/>
    <x v="1"/>
    <n v="110"/>
    <n v="5648"/>
    <n v="22368500"/>
  </r>
  <r>
    <x v="1260"/>
    <n v="19069714"/>
    <x v="0"/>
    <s v="מחיר למשתכן"/>
    <s v="א'"/>
    <s v="נתניה"/>
    <x v="16"/>
    <d v="2016-09-12T00:00:00"/>
    <x v="1"/>
    <n v="9"/>
    <s v="מר/103/2016"/>
    <x v="1"/>
    <n v="130"/>
    <n v="6976"/>
    <n v="29136250"/>
  </r>
  <r>
    <x v="1261"/>
    <n v="21429730"/>
    <x v="7"/>
    <s v="  "/>
    <s v="ב"/>
    <s v="נתניה, עיר ימים"/>
    <x v="16"/>
    <d v="2016-05-03T00:00:00"/>
    <x v="1"/>
    <n v="5"/>
    <s v="מר/294/2015"/>
    <x v="2"/>
    <n v="440"/>
    <n v="17706"/>
    <n v="8613131"/>
  </r>
  <r>
    <x v="1262"/>
    <n v="36735180"/>
    <x v="7"/>
    <s v="  "/>
    <s v="א"/>
    <s v="נתניה, עיר ימים"/>
    <x v="16"/>
    <d v="2016-05-03T00:00:00"/>
    <x v="1"/>
    <n v="5"/>
    <s v="מר/294/2015"/>
    <x v="2"/>
    <n v="760"/>
    <n v="47937"/>
    <n v="26000000"/>
  </r>
  <r>
    <x v="1263"/>
    <n v="3069513"/>
    <x v="2"/>
    <s v="  "/>
    <n v="201"/>
    <s v="נתניה, עיר ימים"/>
    <x v="16"/>
    <d v="2015-10-26T00:00:00"/>
    <x v="3"/>
    <n v="10"/>
    <s v="מר/47/2015"/>
    <x v="1"/>
    <m/>
    <n v="4695"/>
    <n v="31645120"/>
  </r>
  <r>
    <x v="1263"/>
    <n v="3069513"/>
    <x v="2"/>
    <s v="  "/>
    <n v="202"/>
    <s v="נתניה, עיר ימים"/>
    <x v="16"/>
    <d v="2015-10-26T00:00:00"/>
    <x v="3"/>
    <n v="10"/>
    <s v="מר/47/2015"/>
    <x v="1"/>
    <m/>
    <n v="4814"/>
    <n v="31645120"/>
  </r>
  <r>
    <x v="1264"/>
    <n v="24412641"/>
    <x v="8"/>
    <s v="  "/>
    <n v="3"/>
    <s v="נתניה"/>
    <x v="16"/>
    <d v="2016-05-22T00:00:00"/>
    <x v="1"/>
    <n v="5"/>
    <s v="מר/293/2015"/>
    <x v="2"/>
    <m/>
    <n v="6364"/>
    <n v="56800000"/>
  </r>
  <r>
    <x v="0"/>
    <n v="22456696"/>
    <x v="0"/>
    <s v="מחיר למשתכן"/>
    <s v="א"/>
    <s v="נתניה, האגם"/>
    <x v="16"/>
    <d v="2017-04-24T00:00:00"/>
    <x v="0"/>
    <n v="4"/>
    <s v="מר/38/2017"/>
    <x v="1"/>
    <n v="212"/>
    <n v="5787"/>
    <s v="אין הצעות למתחם זה"/>
  </r>
  <r>
    <x v="1265"/>
    <n v="6998274"/>
    <x v="0"/>
    <s v="מחיר למשתכן"/>
    <s v="ב"/>
    <s v="נתניה, האגם"/>
    <x v="16"/>
    <d v="2017-04-24T00:00:00"/>
    <x v="0"/>
    <n v="4"/>
    <s v="מר/38/2017"/>
    <x v="1"/>
    <n v="56"/>
    <n v="3502"/>
    <n v="11341400"/>
  </r>
  <r>
    <x v="1266"/>
    <n v="14133173"/>
    <x v="0"/>
    <s v="מחיר למשתכן"/>
    <s v="ג"/>
    <s v="נתניה, האגם"/>
    <x v="16"/>
    <d v="2017-04-24T00:00:00"/>
    <x v="0"/>
    <n v="4"/>
    <s v="מר/38/2017"/>
    <x v="1"/>
    <n v="110"/>
    <n v="7264"/>
    <n v="20809250"/>
  </r>
  <r>
    <x v="1267"/>
    <n v="2999644"/>
    <x v="0"/>
    <s v="מחיר למשתכן"/>
    <s v="א"/>
    <s v="סחנין"/>
    <x v="17"/>
    <d v="2017-04-24T00:00:00"/>
    <x v="0"/>
    <n v="4"/>
    <s v="צפ/317/2016"/>
    <x v="0"/>
    <m/>
    <m/>
    <n v="0"/>
  </r>
  <r>
    <x v="1267"/>
    <n v="2756739"/>
    <x v="0"/>
    <s v="מחיר למשתכן"/>
    <s v="ב"/>
    <s v="סחנין"/>
    <x v="17"/>
    <d v="2017-04-24T00:00:00"/>
    <x v="0"/>
    <n v="4"/>
    <s v="צפ/317/2016"/>
    <x v="0"/>
    <m/>
    <m/>
    <n v="0"/>
  </r>
  <r>
    <x v="1268"/>
    <s v=""/>
    <x v="4"/>
    <s v="  "/>
    <n v="14"/>
    <s v="עכו, משה צורי 21"/>
    <x v="18"/>
    <d v="2017-01-29T00:00:00"/>
    <x v="0"/>
    <n v="1"/>
    <s v="עמ/641/2016"/>
    <x v="2"/>
    <m/>
    <m/>
    <n v="555555"/>
  </r>
  <r>
    <x v="1269"/>
    <n v="1084978"/>
    <x v="0"/>
    <s v="מחיר למשתכן"/>
    <n v="44891"/>
    <s v="עפולה, C1"/>
    <x v="19"/>
    <d v="2016-09-19T00:00:00"/>
    <x v="1"/>
    <n v="9"/>
    <s v="צפ/117/2016"/>
    <x v="1"/>
    <n v="14"/>
    <n v="1169"/>
    <n v="-2427250"/>
  </r>
  <r>
    <x v="1270"/>
    <n v="1084978"/>
    <x v="0"/>
    <s v="מחיר למשתכן"/>
    <n v="44892"/>
    <s v="עפולה, C1"/>
    <x v="19"/>
    <d v="2016-09-19T00:00:00"/>
    <x v="1"/>
    <n v="9"/>
    <s v="צפ/117/2016"/>
    <x v="1"/>
    <n v="14"/>
    <n v="1169"/>
    <n v="-2217250"/>
  </r>
  <r>
    <x v="1271"/>
    <n v="1549968"/>
    <x v="0"/>
    <s v="מחיר למשתכן"/>
    <n v="44890"/>
    <s v="עפולה, C1"/>
    <x v="19"/>
    <d v="2016-09-19T00:00:00"/>
    <x v="1"/>
    <n v="9"/>
    <s v="צפ/117/2016"/>
    <x v="1"/>
    <n v="20"/>
    <n v="1628"/>
    <n v="-3128500"/>
  </r>
  <r>
    <x v="1271"/>
    <n v="1859962"/>
    <x v="0"/>
    <s v="מחיר למשתכן"/>
    <n v="44889"/>
    <s v="עפולה, C1"/>
    <x v="19"/>
    <d v="2016-09-19T00:00:00"/>
    <x v="1"/>
    <n v="9"/>
    <s v="צפ/117/2016"/>
    <x v="1"/>
    <n v="24"/>
    <n v="2014"/>
    <n v="-3754200"/>
  </r>
  <r>
    <x v="1272"/>
    <n v="1549968"/>
    <x v="0"/>
    <s v="מחיר למשתכן"/>
    <n v="44887"/>
    <s v="עפולה, C1"/>
    <x v="19"/>
    <d v="2016-09-19T00:00:00"/>
    <x v="1"/>
    <n v="9"/>
    <s v="צפ/117/2016"/>
    <x v="1"/>
    <n v="20"/>
    <n v="1630"/>
    <n v="-3025000"/>
  </r>
  <r>
    <x v="1273"/>
    <n v="49131022"/>
    <x v="0"/>
    <s v="מחיר למשתכן"/>
    <s v="א"/>
    <s v="קרית ביאליק, אפק"/>
    <x v="20"/>
    <d v="2016-05-30T00:00:00"/>
    <x v="1"/>
    <n v="5"/>
    <s v="חי/272/2015"/>
    <x v="1"/>
    <n v="230"/>
    <n v="12143"/>
    <n v="16841750"/>
  </r>
  <r>
    <x v="1274"/>
    <n v="92402908"/>
    <x v="0"/>
    <s v="מחיר למשתכן"/>
    <s v="ד"/>
    <s v="קרית ביאליק, אפק"/>
    <x v="20"/>
    <d v="2016-05-30T00:00:00"/>
    <x v="1"/>
    <n v="5"/>
    <s v="חי/269/2015"/>
    <x v="1"/>
    <n v="457"/>
    <n v="20520"/>
    <n v="43060825"/>
  </r>
  <r>
    <x v="1275"/>
    <n v="34452848"/>
    <x v="0"/>
    <s v="מחיר למשתכן"/>
    <s v="ב"/>
    <s v="קרית ביאליק, אפק"/>
    <x v="20"/>
    <d v="2016-05-30T00:00:00"/>
    <x v="1"/>
    <n v="5"/>
    <s v="חי/272/2015"/>
    <x v="1"/>
    <n v="149"/>
    <n v="9656"/>
    <n v="14710025"/>
  </r>
  <r>
    <x v="1276"/>
    <n v="35725827"/>
    <x v="0"/>
    <s v="מחיר למשתכן"/>
    <s v="ה"/>
    <s v="קרית ביאליק, אפק"/>
    <x v="20"/>
    <d v="2016-05-30T00:00:00"/>
    <x v="1"/>
    <n v="5"/>
    <s v="חי/269/2015"/>
    <x v="1"/>
    <n v="206"/>
    <n v="5182"/>
    <n v="24385250"/>
  </r>
  <r>
    <x v="1277"/>
    <n v="15261526"/>
    <x v="1"/>
    <s v="  "/>
    <n v="29"/>
    <s v="קרית ביאליק, אפק"/>
    <x v="20"/>
    <d v="2016-08-28T00:00:00"/>
    <x v="1"/>
    <n v="8"/>
    <s v="חי/274/2015"/>
    <x v="1"/>
    <n v="26"/>
    <n v="7747"/>
    <n v="3692100"/>
  </r>
  <r>
    <x v="1278"/>
    <n v="2670705"/>
    <x v="0"/>
    <s v="  "/>
    <n v="204"/>
    <s v="קרית ביאליק, גבעת הרקפות"/>
    <x v="20"/>
    <d v="2014-03-19T00:00:00"/>
    <x v="2"/>
    <n v="3"/>
    <s v="חי/325/2013"/>
    <x v="1"/>
    <n v="40"/>
    <n v="3391"/>
    <n v="10740000"/>
  </r>
  <r>
    <x v="1279"/>
    <n v="30768125"/>
    <x v="1"/>
    <s v="  "/>
    <n v="30"/>
    <s v="קרית ביאליק, אפק"/>
    <x v="20"/>
    <d v="2016-08-28T00:00:00"/>
    <x v="1"/>
    <n v="8"/>
    <s v="חי/274/2015"/>
    <x v="1"/>
    <n v="60"/>
    <n v="14832"/>
    <n v="10810800"/>
  </r>
  <r>
    <x v="1280"/>
    <n v="2677761"/>
    <x v="0"/>
    <s v="  "/>
    <n v="205"/>
    <s v="קרית ביאליק, הרקפות שלב ב"/>
    <x v="20"/>
    <d v="2015-06-14T00:00:00"/>
    <x v="3"/>
    <n v="6"/>
    <s v="חי/340/2014"/>
    <x v="1"/>
    <n v="40"/>
    <n v="3341"/>
    <n v="12555555"/>
  </r>
  <r>
    <x v="1281"/>
    <n v="2732539"/>
    <x v="0"/>
    <s v="  "/>
    <n v="206"/>
    <s v="קרית ביאליק, הרקפות שלב ב"/>
    <x v="20"/>
    <d v="2015-06-14T00:00:00"/>
    <x v="3"/>
    <n v="6"/>
    <s v="חי/340/2014"/>
    <x v="1"/>
    <n v="40"/>
    <n v="3513"/>
    <n v="13713501"/>
  </r>
  <r>
    <x v="1282"/>
    <n v="2770385"/>
    <x v="0"/>
    <s v="  "/>
    <n v="203"/>
    <s v="קרית ביאליק, הרקפות שלב ב"/>
    <x v="20"/>
    <d v="2015-06-14T00:00:00"/>
    <x v="3"/>
    <n v="6"/>
    <s v="חי/340/2014"/>
    <x v="1"/>
    <n v="40"/>
    <n v="3621"/>
    <n v="15224900"/>
  </r>
  <r>
    <x v="1283"/>
    <n v="35838387"/>
    <x v="0"/>
    <s v="  "/>
    <s v="א"/>
    <s v="קרית ביאליק, אפק"/>
    <x v="20"/>
    <d v="2015-07-05T00:00:00"/>
    <x v="3"/>
    <n v="7"/>
    <s v="חי/359/2014"/>
    <x v="1"/>
    <n v="206"/>
    <n v="6763"/>
    <n v="16180018"/>
  </r>
  <r>
    <x v="1284"/>
    <n v="3541413"/>
    <x v="0"/>
    <s v="  "/>
    <n v="201"/>
    <s v="קרית ביאליק, הרקפות שלב ב"/>
    <x v="20"/>
    <d v="2015-06-14T00:00:00"/>
    <x v="3"/>
    <n v="6"/>
    <s v="חי/340/2014"/>
    <x v="1"/>
    <n v="50"/>
    <n v="4767"/>
    <n v="17016137"/>
  </r>
  <r>
    <x v="1285"/>
    <n v="26787954"/>
    <x v="0"/>
    <s v="  "/>
    <n v="13"/>
    <s v="קרית ביאליק, אפק"/>
    <x v="20"/>
    <d v="2015-08-02T00:00:00"/>
    <x v="3"/>
    <n v="8"/>
    <s v="חי/376/2014"/>
    <x v="1"/>
    <n v="107"/>
    <n v="9113"/>
    <n v="17740717"/>
  </r>
  <r>
    <x v="1286"/>
    <n v="29999514"/>
    <x v="0"/>
    <s v="  "/>
    <s v="ב"/>
    <s v="קרית ביאליק, אפק"/>
    <x v="20"/>
    <d v="2015-07-05T00:00:00"/>
    <x v="3"/>
    <n v="7"/>
    <s v="חי/359/2014"/>
    <x v="1"/>
    <n v="129"/>
    <n v="9402"/>
    <n v="18893333"/>
  </r>
  <r>
    <x v="1287"/>
    <n v="4047670"/>
    <x v="0"/>
    <s v="  "/>
    <n v="101"/>
    <s v="קרית ביאליק, גבעת הרקפות"/>
    <x v="20"/>
    <d v="2014-03-19T00:00:00"/>
    <x v="2"/>
    <n v="3"/>
    <s v="חי/325/2013"/>
    <x v="1"/>
    <n v="60"/>
    <n v="4858"/>
    <n v="19399380"/>
  </r>
  <r>
    <x v="1288"/>
    <n v="4882948"/>
    <x v="0"/>
    <s v="  "/>
    <n v="202"/>
    <s v="קרית ביאליק, הרקפות שלב ב"/>
    <x v="20"/>
    <d v="2015-06-14T00:00:00"/>
    <x v="3"/>
    <n v="6"/>
    <s v="חי/340/2014"/>
    <x v="1"/>
    <n v="70"/>
    <n v="6425"/>
    <n v="24597622"/>
  </r>
  <r>
    <x v="1289"/>
    <n v="30912476"/>
    <x v="0"/>
    <s v="מחיר למשתכן"/>
    <n v="7"/>
    <s v="קרית גת, כרמי גת"/>
    <x v="21"/>
    <d v="2016-07-04T00:00:00"/>
    <x v="1"/>
    <n v="7"/>
    <s v="ים/46/2016"/>
    <x v="1"/>
    <n v="264"/>
    <n v="27673"/>
    <n v="-4884000"/>
  </r>
  <r>
    <x v="1290"/>
    <n v="44217153"/>
    <x v="0"/>
    <s v="מחיר למשתכן"/>
    <n v="5"/>
    <s v="קרית גת, כרמי גת"/>
    <x v="21"/>
    <d v="2016-07-04T00:00:00"/>
    <x v="1"/>
    <n v="7"/>
    <s v="ים/46/2016"/>
    <x v="1"/>
    <n v="372"/>
    <n v="24101"/>
    <n v="4222200"/>
  </r>
  <r>
    <x v="1291"/>
    <n v="50031003"/>
    <x v="0"/>
    <s v="מחיר למשתכן"/>
    <n v="6"/>
    <s v="קרית גת, כרמי גת"/>
    <x v="21"/>
    <d v="2016-07-25T00:00:00"/>
    <x v="1"/>
    <n v="7"/>
    <s v="ים/118/2016"/>
    <x v="1"/>
    <n v="224"/>
    <n v="22595"/>
    <n v="2878400"/>
  </r>
  <r>
    <x v="1292"/>
    <n v="41470166"/>
    <x v="0"/>
    <s v="מחיר למשתכן"/>
    <n v="3"/>
    <s v="קרית גת, כרמי גת"/>
    <x v="21"/>
    <d v="2016-08-29T00:00:00"/>
    <x v="1"/>
    <n v="8"/>
    <s v="ים/138/2016"/>
    <x v="1"/>
    <n v="282"/>
    <n v="16378"/>
    <n v="3792900"/>
  </r>
  <r>
    <x v="1293"/>
    <n v="503259"/>
    <x v="1"/>
    <s v="  "/>
    <s v="B114 "/>
    <s v="קרית גת, כרמי גת"/>
    <x v="21"/>
    <d v="2015-06-14T00:00:00"/>
    <x v="3"/>
    <n v="6"/>
    <s v="ים/364/2014"/>
    <x v="1"/>
    <n v="1"/>
    <m/>
    <n v="39555"/>
  </r>
  <r>
    <x v="240"/>
    <n v="477623"/>
    <x v="1"/>
    <s v="  "/>
    <s v="B149 "/>
    <s v="קרית גת, כרמי גת"/>
    <x v="21"/>
    <d v="2015-06-14T00:00:00"/>
    <x v="3"/>
    <n v="6"/>
    <s v="ים/364/2014"/>
    <x v="1"/>
    <n v="1"/>
    <m/>
    <n v="50000"/>
  </r>
  <r>
    <x v="268"/>
    <n v="6168378"/>
    <x v="0"/>
    <s v="  "/>
    <n v="22081"/>
    <s v="קרית גת, רובע הפרחים"/>
    <x v="21"/>
    <d v="2013-06-26T00:00:00"/>
    <x v="4"/>
    <n v="6"/>
    <s v="ים/56/2013"/>
    <x v="2"/>
    <n v="60"/>
    <n v="3184"/>
    <n v="55000"/>
  </r>
  <r>
    <x v="1294"/>
    <n v="382403"/>
    <x v="1"/>
    <s v="  "/>
    <s v="B191 "/>
    <s v="קרית גת, כרמי גת"/>
    <x v="21"/>
    <d v="2015-06-14T00:00:00"/>
    <x v="3"/>
    <n v="6"/>
    <s v="ים/364/2014"/>
    <x v="1"/>
    <n v="1"/>
    <m/>
    <n v="58560"/>
  </r>
  <r>
    <x v="1295"/>
    <n v="392170"/>
    <x v="1"/>
    <s v="  "/>
    <s v="B190 "/>
    <s v="קרית גת, כרמי גת"/>
    <x v="21"/>
    <d v="2015-06-14T00:00:00"/>
    <x v="3"/>
    <n v="6"/>
    <s v="ים/364/2014"/>
    <x v="1"/>
    <n v="1"/>
    <m/>
    <n v="62000"/>
  </r>
  <r>
    <x v="1296"/>
    <n v="408039"/>
    <x v="1"/>
    <s v="  "/>
    <s v="B146 "/>
    <s v="קרית גת, כרמי גת"/>
    <x v="21"/>
    <d v="2015-06-14T00:00:00"/>
    <x v="3"/>
    <n v="6"/>
    <s v="ים/364/2014"/>
    <x v="1"/>
    <n v="1"/>
    <m/>
    <n v="64838"/>
  </r>
  <r>
    <x v="1297"/>
    <n v="518339"/>
    <x v="1"/>
    <s v="  "/>
    <n v="191"/>
    <s v="קרית גת, כרמי גת"/>
    <x v="21"/>
    <d v="2016-12-18T00:00:00"/>
    <x v="1"/>
    <n v="12"/>
    <s v="ים/95/2016"/>
    <x v="1"/>
    <n v="1"/>
    <m/>
    <n v="76258"/>
  </r>
  <r>
    <x v="413"/>
    <n v="475181"/>
    <x v="1"/>
    <s v="  "/>
    <s v="A172 "/>
    <s v="קרית גת, כרמי גת"/>
    <x v="21"/>
    <d v="2015-06-14T00:00:00"/>
    <x v="3"/>
    <n v="6"/>
    <s v="ים/364/2014"/>
    <x v="1"/>
    <n v="1"/>
    <m/>
    <n v="77000"/>
  </r>
  <r>
    <x v="1298"/>
    <n v="570401"/>
    <x v="1"/>
    <s v="  "/>
    <s v="B179 "/>
    <s v="קרית גת, כרמי גת"/>
    <x v="21"/>
    <d v="2015-06-14T00:00:00"/>
    <x v="3"/>
    <n v="6"/>
    <s v="ים/364/2014"/>
    <x v="1"/>
    <n v="1"/>
    <m/>
    <n v="80006"/>
  </r>
  <r>
    <x v="1299"/>
    <n v="404378"/>
    <x v="1"/>
    <s v="  "/>
    <s v="A145 "/>
    <s v="קרית גת, כרמי גת"/>
    <x v="21"/>
    <d v="2015-06-14T00:00:00"/>
    <x v="3"/>
    <n v="6"/>
    <s v="ים/364/2014"/>
    <x v="1"/>
    <n v="1"/>
    <m/>
    <n v="81755"/>
  </r>
  <r>
    <x v="445"/>
    <n v="389728"/>
    <x v="1"/>
    <s v="  "/>
    <s v="A135 "/>
    <s v="קרית גת, כרמי גת"/>
    <x v="21"/>
    <d v="2015-06-14T00:00:00"/>
    <x v="3"/>
    <n v="6"/>
    <s v="ים/364/2014"/>
    <x v="1"/>
    <n v="1"/>
    <m/>
    <n v="82000"/>
  </r>
  <r>
    <x v="1300"/>
    <n v="428793"/>
    <x v="1"/>
    <s v="  "/>
    <s v="A170 "/>
    <s v="קרית גת, כרמי גת"/>
    <x v="21"/>
    <d v="2015-06-14T00:00:00"/>
    <x v="3"/>
    <n v="6"/>
    <s v="ים/364/2014"/>
    <x v="1"/>
    <n v="1"/>
    <m/>
    <n v="82297"/>
  </r>
  <r>
    <x v="1301"/>
    <n v="421468"/>
    <x v="1"/>
    <s v="  "/>
    <s v="B192 "/>
    <s v="קרית גת, כרמי גת"/>
    <x v="21"/>
    <d v="2015-06-14T00:00:00"/>
    <x v="3"/>
    <n v="6"/>
    <s v="ים/364/2014"/>
    <x v="1"/>
    <n v="1"/>
    <m/>
    <n v="84677"/>
  </r>
  <r>
    <x v="492"/>
    <n v="411702"/>
    <x v="1"/>
    <s v="  "/>
    <s v="A191 "/>
    <s v="קרית גת, כרמי גת"/>
    <x v="21"/>
    <d v="2015-06-14T00:00:00"/>
    <x v="3"/>
    <n v="6"/>
    <s v="ים/364/2014"/>
    <x v="1"/>
    <n v="1"/>
    <m/>
    <n v="90000"/>
  </r>
  <r>
    <x v="1302"/>
    <n v="393391"/>
    <x v="1"/>
    <s v="  "/>
    <s v="A146 "/>
    <s v="קרית גת, כרמי גת"/>
    <x v="21"/>
    <d v="2015-06-14T00:00:00"/>
    <x v="3"/>
    <n v="6"/>
    <s v="ים/364/2014"/>
    <x v="1"/>
    <n v="1"/>
    <m/>
    <n v="91999"/>
  </r>
  <r>
    <x v="1303"/>
    <n v="448934"/>
    <x v="1"/>
    <s v="  "/>
    <n v="9"/>
    <s v="קרית גת, כרמי גת נכים"/>
    <x v="21"/>
    <d v="2016-04-04T00:00:00"/>
    <x v="1"/>
    <n v="4"/>
    <s v="ים/235/2015"/>
    <x v="1"/>
    <n v="1"/>
    <n v="559"/>
    <n v="92820"/>
  </r>
  <r>
    <x v="1304"/>
    <n v="517908"/>
    <x v="1"/>
    <s v="  "/>
    <s v="A109 "/>
    <s v="קרית גת, כרמי גת"/>
    <x v="21"/>
    <d v="2015-06-14T00:00:00"/>
    <x v="3"/>
    <n v="6"/>
    <s v="ים/364/2014"/>
    <x v="1"/>
    <n v="1"/>
    <m/>
    <n v="95130"/>
  </r>
  <r>
    <x v="1305"/>
    <n v="480065"/>
    <x v="1"/>
    <s v="  "/>
    <s v="B196 "/>
    <s v="קרית גת, כרמי גת"/>
    <x v="21"/>
    <d v="2015-06-14T00:00:00"/>
    <x v="3"/>
    <n v="6"/>
    <s v="ים/364/2014"/>
    <x v="1"/>
    <n v="1"/>
    <m/>
    <n v="98927"/>
  </r>
  <r>
    <x v="1306"/>
    <n v="375079"/>
    <x v="1"/>
    <s v="  "/>
    <s v="B180 "/>
    <s v="קרית גת, כרמי גת"/>
    <x v="21"/>
    <d v="2015-06-14T00:00:00"/>
    <x v="3"/>
    <n v="6"/>
    <s v="ים/364/2014"/>
    <x v="1"/>
    <n v="1"/>
    <m/>
    <n v="100002"/>
  </r>
  <r>
    <x v="1307"/>
    <n v="420247"/>
    <x v="1"/>
    <s v="  "/>
    <s v="A131 "/>
    <s v="קרית גת, כרמי גת"/>
    <x v="21"/>
    <d v="2015-06-14T00:00:00"/>
    <x v="3"/>
    <n v="6"/>
    <s v="ים/364/2014"/>
    <x v="1"/>
    <n v="1"/>
    <m/>
    <n v="100520"/>
  </r>
  <r>
    <x v="1307"/>
    <n v="420247"/>
    <x v="1"/>
    <s v="  "/>
    <s v="B147 "/>
    <s v="קרית גת, כרמי גת"/>
    <x v="21"/>
    <d v="2015-06-14T00:00:00"/>
    <x v="3"/>
    <n v="6"/>
    <s v="ים/364/2014"/>
    <x v="1"/>
    <n v="1"/>
    <m/>
    <n v="100520"/>
  </r>
  <r>
    <x v="1308"/>
    <n v="389728"/>
    <x v="1"/>
    <s v="  "/>
    <s v="B162 "/>
    <s v="קרית גת, כרמי גת"/>
    <x v="21"/>
    <d v="2015-06-14T00:00:00"/>
    <x v="3"/>
    <n v="6"/>
    <s v="ים/364/2014"/>
    <x v="1"/>
    <n v="1"/>
    <m/>
    <n v="100700"/>
  </r>
  <r>
    <x v="1309"/>
    <n v="367755"/>
    <x v="1"/>
    <s v="  "/>
    <s v="A195 "/>
    <s v="קרית גת, כרמי גת"/>
    <x v="21"/>
    <d v="2015-06-14T00:00:00"/>
    <x v="3"/>
    <n v="6"/>
    <s v="ים/364/2014"/>
    <x v="1"/>
    <n v="1"/>
    <m/>
    <n v="100777"/>
  </r>
  <r>
    <x v="558"/>
    <n v="375079"/>
    <x v="1"/>
    <s v="  "/>
    <s v="A180 "/>
    <s v="קרית גת, כרמי גת"/>
    <x v="21"/>
    <d v="2015-06-14T00:00:00"/>
    <x v="3"/>
    <n v="6"/>
    <s v="ים/364/2014"/>
    <x v="1"/>
    <n v="1"/>
    <m/>
    <n v="101000"/>
  </r>
  <r>
    <x v="558"/>
    <n v="411702"/>
    <x v="1"/>
    <s v="  "/>
    <s v="B172 "/>
    <s v="קרית גת, כרמי גת"/>
    <x v="21"/>
    <d v="2015-06-14T00:00:00"/>
    <x v="3"/>
    <n v="6"/>
    <s v="ים/364/2014"/>
    <x v="1"/>
    <n v="1"/>
    <m/>
    <n v="101000"/>
  </r>
  <r>
    <x v="558"/>
    <n v="520349"/>
    <x v="1"/>
    <s v="  "/>
    <s v="B111 "/>
    <s v="קרית גת, כרמי גת"/>
    <x v="21"/>
    <d v="2015-06-14T00:00:00"/>
    <x v="3"/>
    <n v="6"/>
    <s v="ים/364/2014"/>
    <x v="1"/>
    <n v="1"/>
    <m/>
    <n v="101000"/>
  </r>
  <r>
    <x v="561"/>
    <n v="389728"/>
    <x v="1"/>
    <s v="  "/>
    <s v="A163 "/>
    <s v="קרית גת, כרמי גת"/>
    <x v="21"/>
    <d v="2015-06-14T00:00:00"/>
    <x v="3"/>
    <n v="6"/>
    <s v="ים/364/2014"/>
    <x v="1"/>
    <n v="1"/>
    <m/>
    <n v="101100"/>
  </r>
  <r>
    <x v="1310"/>
    <n v="394611"/>
    <x v="1"/>
    <s v="  "/>
    <s v="B158 "/>
    <s v="קרית גת, כרמי גת"/>
    <x v="21"/>
    <d v="2015-06-14T00:00:00"/>
    <x v="3"/>
    <n v="6"/>
    <s v="ים/364/2014"/>
    <x v="1"/>
    <n v="1"/>
    <m/>
    <n v="102108"/>
  </r>
  <r>
    <x v="578"/>
    <n v="375079"/>
    <x v="1"/>
    <s v="  "/>
    <s v="A181 "/>
    <s v="קרית גת, כרמי גת"/>
    <x v="21"/>
    <d v="2015-06-14T00:00:00"/>
    <x v="3"/>
    <n v="6"/>
    <s v="ים/364/2014"/>
    <x v="1"/>
    <n v="1"/>
    <m/>
    <n v="102300"/>
  </r>
  <r>
    <x v="589"/>
    <n v="482506"/>
    <x v="1"/>
    <s v="  "/>
    <s v="A113 "/>
    <s v="קרית גת, כרמי גת"/>
    <x v="21"/>
    <d v="2015-06-14T00:00:00"/>
    <x v="3"/>
    <n v="6"/>
    <s v="ים/364/2014"/>
    <x v="1"/>
    <n v="1"/>
    <m/>
    <n v="104000"/>
  </r>
  <r>
    <x v="1311"/>
    <n v="389728"/>
    <x v="1"/>
    <s v="  "/>
    <s v="A162 "/>
    <s v="קרית גת, כרמי גת"/>
    <x v="21"/>
    <d v="2015-06-14T00:00:00"/>
    <x v="3"/>
    <n v="6"/>
    <s v="ים/364/2014"/>
    <x v="1"/>
    <n v="1"/>
    <m/>
    <n v="104675"/>
  </r>
  <r>
    <x v="1312"/>
    <n v="408039"/>
    <x v="1"/>
    <s v="  "/>
    <s v="B101 "/>
    <s v="קרית גת, כרמי גת"/>
    <x v="21"/>
    <d v="2015-06-14T00:00:00"/>
    <x v="3"/>
    <n v="6"/>
    <s v="ים/364/2014"/>
    <x v="1"/>
    <n v="1"/>
    <m/>
    <n v="105130"/>
  </r>
  <r>
    <x v="1313"/>
    <n v="389728"/>
    <x v="1"/>
    <s v="  "/>
    <s v="B163 "/>
    <s v="קרית גת, כרמי גת"/>
    <x v="21"/>
    <d v="2015-06-14T00:00:00"/>
    <x v="3"/>
    <n v="6"/>
    <s v="ים/364/2014"/>
    <x v="1"/>
    <n v="1"/>
    <m/>
    <n v="106477"/>
  </r>
  <r>
    <x v="1314"/>
    <n v="393391"/>
    <x v="1"/>
    <s v="  "/>
    <s v="B160 "/>
    <s v="קרית גת, כרמי גת"/>
    <x v="21"/>
    <d v="2015-06-14T00:00:00"/>
    <x v="3"/>
    <n v="6"/>
    <s v="ים/364/2014"/>
    <x v="1"/>
    <n v="1"/>
    <m/>
    <n v="106665"/>
  </r>
  <r>
    <x v="1315"/>
    <n v="392170"/>
    <x v="1"/>
    <s v="  "/>
    <s v="A196 "/>
    <s v="קרית גת, כרמי גת"/>
    <x v="21"/>
    <d v="2015-06-14T00:00:00"/>
    <x v="3"/>
    <n v="6"/>
    <s v="ים/364/2014"/>
    <x v="1"/>
    <n v="1"/>
    <m/>
    <n v="107108"/>
  </r>
  <r>
    <x v="1316"/>
    <n v="436117"/>
    <x v="1"/>
    <s v="  "/>
    <s v="B126 "/>
    <s v="קרית גת, כרמי גת"/>
    <x v="21"/>
    <d v="2015-06-14T00:00:00"/>
    <x v="3"/>
    <n v="6"/>
    <s v="ים/364/2014"/>
    <x v="1"/>
    <n v="1"/>
    <m/>
    <n v="108036"/>
  </r>
  <r>
    <x v="1317"/>
    <n v="420247"/>
    <x v="1"/>
    <s v="  "/>
    <s v="A161 "/>
    <s v="קרית גת, כרמי גת"/>
    <x v="21"/>
    <d v="2015-06-14T00:00:00"/>
    <x v="3"/>
    <n v="6"/>
    <s v="ים/364/2014"/>
    <x v="1"/>
    <n v="1"/>
    <m/>
    <n v="108315"/>
  </r>
  <r>
    <x v="1318"/>
    <n v="359209"/>
    <x v="1"/>
    <s v="  "/>
    <s v="A192 "/>
    <s v="קרית גת, כרמי גת"/>
    <x v="21"/>
    <d v="2015-06-14T00:00:00"/>
    <x v="3"/>
    <n v="6"/>
    <s v="ים/364/2014"/>
    <x v="1"/>
    <n v="1"/>
    <m/>
    <n v="108727"/>
  </r>
  <r>
    <x v="1319"/>
    <n v="437338"/>
    <x v="1"/>
    <s v="  "/>
    <s v="B171 "/>
    <s v="קרית גת, כרמי גת"/>
    <x v="21"/>
    <d v="2015-06-14T00:00:00"/>
    <x v="3"/>
    <n v="6"/>
    <s v="ים/364/2014"/>
    <x v="1"/>
    <n v="1"/>
    <m/>
    <n v="109789"/>
  </r>
  <r>
    <x v="634"/>
    <n v="398274"/>
    <x v="1"/>
    <s v="  "/>
    <s v="B186 "/>
    <s v="קרית גת, כרמי גת"/>
    <x v="21"/>
    <d v="2015-06-14T00:00:00"/>
    <x v="3"/>
    <n v="6"/>
    <s v="ים/364/2014"/>
    <x v="1"/>
    <n v="1"/>
    <m/>
    <n v="110000"/>
  </r>
  <r>
    <x v="1320"/>
    <n v="377521"/>
    <x v="1"/>
    <s v="  "/>
    <s v="B188 "/>
    <s v="קרית גת, כרמי גת"/>
    <x v="21"/>
    <d v="2015-06-14T00:00:00"/>
    <x v="3"/>
    <n v="6"/>
    <s v="ים/364/2014"/>
    <x v="1"/>
    <n v="1"/>
    <m/>
    <n v="110100"/>
  </r>
  <r>
    <x v="1320"/>
    <n v="449546"/>
    <x v="1"/>
    <s v="  "/>
    <s v="A188 "/>
    <s v="קרית גת, כרמי גת"/>
    <x v="21"/>
    <d v="2015-06-14T00:00:00"/>
    <x v="3"/>
    <n v="6"/>
    <s v="ים/364/2014"/>
    <x v="1"/>
    <n v="1"/>
    <m/>
    <n v="110100"/>
  </r>
  <r>
    <x v="1321"/>
    <n v="392170"/>
    <x v="1"/>
    <s v="  "/>
    <s v="B159 "/>
    <s v="קרית גת, כרמי גת"/>
    <x v="21"/>
    <d v="2015-06-14T00:00:00"/>
    <x v="3"/>
    <n v="6"/>
    <s v="ים/364/2014"/>
    <x v="1"/>
    <n v="1"/>
    <m/>
    <n v="110208"/>
  </r>
  <r>
    <x v="1322"/>
    <n v="350664"/>
    <x v="1"/>
    <s v="  "/>
    <s v="A168 "/>
    <s v="קרית גת, כרמי גת"/>
    <x v="21"/>
    <d v="2015-06-14T00:00:00"/>
    <x v="3"/>
    <n v="6"/>
    <s v="ים/364/2014"/>
    <x v="1"/>
    <n v="1"/>
    <m/>
    <n v="111300"/>
  </r>
  <r>
    <x v="1323"/>
    <n v="434896"/>
    <x v="1"/>
    <s v="  "/>
    <s v="B170 "/>
    <s v="קרית גת, כרמי גת"/>
    <x v="21"/>
    <d v="2015-06-14T00:00:00"/>
    <x v="3"/>
    <n v="6"/>
    <s v="ים/364/2014"/>
    <x v="1"/>
    <n v="1"/>
    <m/>
    <n v="112256"/>
  </r>
  <r>
    <x v="1324"/>
    <n v="392170"/>
    <x v="1"/>
    <s v="  "/>
    <s v="B108 "/>
    <s v="קרית גת, כרמי גת"/>
    <x v="21"/>
    <d v="2015-06-14T00:00:00"/>
    <x v="3"/>
    <n v="6"/>
    <s v="ים/364/2014"/>
    <x v="1"/>
    <n v="1"/>
    <m/>
    <n v="112900"/>
  </r>
  <r>
    <x v="1325"/>
    <n v="661958"/>
    <x v="1"/>
    <s v="  "/>
    <s v="A179 "/>
    <s v="קרית גת, כרמי גת"/>
    <x v="21"/>
    <d v="2015-06-14T00:00:00"/>
    <x v="3"/>
    <n v="6"/>
    <s v="ים/364/2014"/>
    <x v="1"/>
    <n v="1"/>
    <m/>
    <n v="113660"/>
  </r>
  <r>
    <x v="1326"/>
    <n v="389728"/>
    <x v="1"/>
    <s v="  "/>
    <s v="B136 "/>
    <s v="קרית גת, כרמי גת"/>
    <x v="21"/>
    <d v="2015-06-14T00:00:00"/>
    <x v="3"/>
    <n v="6"/>
    <s v="ים/364/2014"/>
    <x v="1"/>
    <n v="1"/>
    <m/>
    <n v="115110"/>
  </r>
  <r>
    <x v="1327"/>
    <n v="593596"/>
    <x v="1"/>
    <s v="  "/>
    <s v="A112 "/>
    <s v="קרית גת, כרמי גת"/>
    <x v="21"/>
    <d v="2015-06-14T00:00:00"/>
    <x v="3"/>
    <n v="6"/>
    <s v="ים/364/2014"/>
    <x v="1"/>
    <n v="1"/>
    <m/>
    <n v="116600"/>
  </r>
  <r>
    <x v="1328"/>
    <n v="373859"/>
    <x v="1"/>
    <s v="  "/>
    <s v="A119 "/>
    <s v="קרית גת, כרמי גת"/>
    <x v="21"/>
    <d v="2015-06-14T00:00:00"/>
    <x v="3"/>
    <n v="6"/>
    <s v="ים/364/2014"/>
    <x v="1"/>
    <n v="1"/>
    <m/>
    <n v="117118"/>
  </r>
  <r>
    <x v="1329"/>
    <n v="360430"/>
    <x v="1"/>
    <s v="  "/>
    <s v="B195 "/>
    <s v="קרית גת, כרמי גת"/>
    <x v="21"/>
    <d v="2015-06-14T00:00:00"/>
    <x v="3"/>
    <n v="6"/>
    <s v="ים/364/2014"/>
    <x v="1"/>
    <n v="1"/>
    <m/>
    <n v="117770"/>
  </r>
  <r>
    <x v="669"/>
    <n v="417806"/>
    <x v="1"/>
    <s v="  "/>
    <s v="B145 "/>
    <s v="קרית גת, כרמי גת"/>
    <x v="21"/>
    <d v="2015-06-14T00:00:00"/>
    <x v="3"/>
    <n v="6"/>
    <s v="ים/364/2014"/>
    <x v="1"/>
    <n v="1"/>
    <m/>
    <n v="118000"/>
  </r>
  <r>
    <x v="1330"/>
    <n v="384845"/>
    <x v="1"/>
    <s v="  "/>
    <s v="A160 "/>
    <s v="קרית גת, כרמי גת"/>
    <x v="21"/>
    <d v="2015-06-14T00:00:00"/>
    <x v="3"/>
    <n v="6"/>
    <s v="ים/364/2014"/>
    <x v="1"/>
    <n v="1"/>
    <m/>
    <n v="118933"/>
  </r>
  <r>
    <x v="1331"/>
    <n v="480065"/>
    <x v="1"/>
    <s v="  "/>
    <s v="B124 "/>
    <s v="קרית גת, כרמי גת"/>
    <x v="21"/>
    <d v="2015-06-14T00:00:00"/>
    <x v="3"/>
    <n v="6"/>
    <s v="ים/364/2014"/>
    <x v="1"/>
    <n v="1"/>
    <m/>
    <n v="119870"/>
  </r>
  <r>
    <x v="685"/>
    <n v="426351"/>
    <x v="1"/>
    <s v="  "/>
    <s v="A157 "/>
    <s v="קרית גת, כרמי גת"/>
    <x v="21"/>
    <d v="2015-06-14T00:00:00"/>
    <x v="3"/>
    <n v="6"/>
    <s v="ים/364/2014"/>
    <x v="1"/>
    <n v="1"/>
    <m/>
    <n v="120000"/>
  </r>
  <r>
    <x v="1332"/>
    <n v="321858"/>
    <x v="1"/>
    <s v="  "/>
    <s v="A41 "/>
    <s v="קרית גת, כרמי גת"/>
    <x v="21"/>
    <d v="2014-12-14T00:00:00"/>
    <x v="2"/>
    <n v="12"/>
    <s v="ים/161/2014"/>
    <x v="1"/>
    <n v="1"/>
    <m/>
    <n v="120001"/>
  </r>
  <r>
    <x v="1333"/>
    <n v="389728"/>
    <x v="1"/>
    <s v="  "/>
    <s v="A132 "/>
    <s v="קרית גת, כרמי גת"/>
    <x v="21"/>
    <d v="2015-06-14T00:00:00"/>
    <x v="3"/>
    <n v="6"/>
    <s v="ים/364/2014"/>
    <x v="1"/>
    <n v="1"/>
    <m/>
    <n v="121018"/>
  </r>
  <r>
    <x v="692"/>
    <n v="389728"/>
    <x v="1"/>
    <s v="  "/>
    <s v="A149 "/>
    <s v="קרית גת, כרמי גת"/>
    <x v="21"/>
    <d v="2015-06-14T00:00:00"/>
    <x v="3"/>
    <n v="6"/>
    <s v="ים/364/2014"/>
    <x v="1"/>
    <n v="1"/>
    <m/>
    <n v="121101"/>
  </r>
  <r>
    <x v="1334"/>
    <n v="406819"/>
    <x v="1"/>
    <s v="  "/>
    <s v="A174 "/>
    <s v="קרית גת, כרמי גת"/>
    <x v="21"/>
    <d v="2015-06-14T00:00:00"/>
    <x v="3"/>
    <n v="6"/>
    <s v="ים/364/2014"/>
    <x v="1"/>
    <n v="1"/>
    <m/>
    <n v="121112"/>
  </r>
  <r>
    <x v="1335"/>
    <n v="392170"/>
    <x v="1"/>
    <s v="  "/>
    <s v="A187 "/>
    <s v="קרית גת, כרמי גת"/>
    <x v="21"/>
    <d v="2015-06-14T00:00:00"/>
    <x v="3"/>
    <n v="6"/>
    <s v="ים/364/2014"/>
    <x v="1"/>
    <n v="1"/>
    <m/>
    <n v="121180"/>
  </r>
  <r>
    <x v="1336"/>
    <n v="532557"/>
    <x v="1"/>
    <s v="  "/>
    <s v="B104 "/>
    <s v="קרית גת, כרמי גת"/>
    <x v="21"/>
    <d v="2015-06-14T00:00:00"/>
    <x v="3"/>
    <n v="6"/>
    <s v="ים/364/2014"/>
    <x v="1"/>
    <n v="1"/>
    <m/>
    <n v="121510"/>
  </r>
  <r>
    <x v="1337"/>
    <n v="321858"/>
    <x v="1"/>
    <s v="  "/>
    <s v="A19 "/>
    <s v="קרית גת, כרמי גת"/>
    <x v="21"/>
    <d v="2014-12-14T00:00:00"/>
    <x v="2"/>
    <n v="12"/>
    <s v="ים/161/2014"/>
    <x v="1"/>
    <n v="1"/>
    <m/>
    <n v="121800"/>
  </r>
  <r>
    <x v="1338"/>
    <n v="477623"/>
    <x v="1"/>
    <s v="  "/>
    <s v="B135 "/>
    <s v="קרית גת, כרמי גת"/>
    <x v="21"/>
    <d v="2015-06-14T00:00:00"/>
    <x v="3"/>
    <n v="6"/>
    <s v="ים/364/2014"/>
    <x v="1"/>
    <n v="1"/>
    <m/>
    <n v="123145"/>
  </r>
  <r>
    <x v="1339"/>
    <n v="395832"/>
    <x v="1"/>
    <s v="  "/>
    <s v="A139 "/>
    <s v="קרית גת, כרמי גת"/>
    <x v="21"/>
    <d v="2015-06-14T00:00:00"/>
    <x v="3"/>
    <n v="6"/>
    <s v="ים/364/2014"/>
    <x v="1"/>
    <n v="1"/>
    <m/>
    <n v="123400"/>
  </r>
  <r>
    <x v="1340"/>
    <n v="460533"/>
    <x v="1"/>
    <s v="  "/>
    <s v="A125 "/>
    <s v="קרית גת, כרמי גת"/>
    <x v="21"/>
    <d v="2015-06-14T00:00:00"/>
    <x v="3"/>
    <n v="6"/>
    <s v="ים/364/2014"/>
    <x v="1"/>
    <n v="1"/>
    <m/>
    <n v="124038"/>
  </r>
  <r>
    <x v="1341"/>
    <n v="478844"/>
    <x v="1"/>
    <s v="  "/>
    <s v="A124 "/>
    <s v="קרית גת, כרמי גת"/>
    <x v="21"/>
    <d v="2015-06-14T00:00:00"/>
    <x v="3"/>
    <n v="6"/>
    <s v="ים/364/2014"/>
    <x v="1"/>
    <n v="1"/>
    <m/>
    <n v="126900"/>
  </r>
  <r>
    <x v="1342"/>
    <n v="340427"/>
    <x v="1"/>
    <s v="  "/>
    <s v="A33 "/>
    <s v="קרית גת, כרמי גת"/>
    <x v="21"/>
    <d v="2014-12-14T00:00:00"/>
    <x v="2"/>
    <n v="12"/>
    <s v="ים/161/2014"/>
    <x v="1"/>
    <n v="1"/>
    <m/>
    <n v="127777"/>
  </r>
  <r>
    <x v="739"/>
    <n v="438558"/>
    <x v="1"/>
    <s v="  "/>
    <s v="B140 "/>
    <s v="קרית גת, כרמי גת"/>
    <x v="21"/>
    <d v="2015-06-14T00:00:00"/>
    <x v="3"/>
    <n v="6"/>
    <s v="ים/364/2014"/>
    <x v="1"/>
    <n v="1"/>
    <m/>
    <n v="130000"/>
  </r>
  <r>
    <x v="1343"/>
    <n v="445984"/>
    <x v="1"/>
    <s v="  "/>
    <n v="141"/>
    <s v="קרית גת, כרמי גת"/>
    <x v="21"/>
    <d v="2014-05-04T00:00:00"/>
    <x v="2"/>
    <n v="5"/>
    <s v="ים/388/2013"/>
    <x v="1"/>
    <n v="1"/>
    <m/>
    <n v="130500"/>
  </r>
  <r>
    <x v="740"/>
    <n v="398274"/>
    <x v="1"/>
    <s v="  "/>
    <s v="A128 "/>
    <s v="קרית גת, כרמי גת"/>
    <x v="21"/>
    <d v="2015-06-14T00:00:00"/>
    <x v="3"/>
    <n v="6"/>
    <s v="ים/364/2014"/>
    <x v="1"/>
    <n v="1"/>
    <m/>
    <n v="131000"/>
  </r>
  <r>
    <x v="740"/>
    <n v="403157"/>
    <x v="1"/>
    <s v="  "/>
    <s v="B128 "/>
    <s v="קרית גת, כרמי גת"/>
    <x v="21"/>
    <d v="2015-06-14T00:00:00"/>
    <x v="3"/>
    <n v="6"/>
    <s v="ים/364/2014"/>
    <x v="1"/>
    <n v="1"/>
    <m/>
    <n v="131000"/>
  </r>
  <r>
    <x v="747"/>
    <n v="444147"/>
    <x v="1"/>
    <s v="  "/>
    <n v="136"/>
    <s v="קרית גת, כרמי גת"/>
    <x v="21"/>
    <d v="2014-05-04T00:00:00"/>
    <x v="2"/>
    <n v="5"/>
    <s v="ים/388/2013"/>
    <x v="1"/>
    <n v="1"/>
    <m/>
    <n v="132000"/>
  </r>
  <r>
    <x v="751"/>
    <n v="321858"/>
    <x v="1"/>
    <s v="  "/>
    <s v="A39 "/>
    <s v="קרית גת, כרמי גת"/>
    <x v="21"/>
    <d v="2014-12-14T00:00:00"/>
    <x v="2"/>
    <n v="12"/>
    <s v="ים/161/2014"/>
    <x v="1"/>
    <n v="1"/>
    <m/>
    <n v="133000"/>
  </r>
  <r>
    <x v="751"/>
    <n v="442958"/>
    <x v="1"/>
    <s v="  "/>
    <n v="134"/>
    <s v="קרית גת, כרמי גת"/>
    <x v="21"/>
    <d v="2014-05-04T00:00:00"/>
    <x v="2"/>
    <n v="5"/>
    <s v="ים/388/2013"/>
    <x v="1"/>
    <n v="1"/>
    <m/>
    <n v="133000"/>
  </r>
  <r>
    <x v="751"/>
    <n v="447173"/>
    <x v="1"/>
    <s v="  "/>
    <n v="139"/>
    <s v="קרית גת, כרמי גת"/>
    <x v="21"/>
    <d v="2014-05-04T00:00:00"/>
    <x v="2"/>
    <n v="5"/>
    <s v="ים/388/2013"/>
    <x v="1"/>
    <n v="1"/>
    <m/>
    <n v="133000"/>
  </r>
  <r>
    <x v="1344"/>
    <n v="430306"/>
    <x v="1"/>
    <s v="  "/>
    <s v="A261 "/>
    <s v="קרית גת, כרמי גת"/>
    <x v="21"/>
    <d v="2016-12-18T00:00:00"/>
    <x v="1"/>
    <n v="12"/>
    <s v="ים/95/2016"/>
    <x v="1"/>
    <n v="1"/>
    <m/>
    <n v="134100"/>
  </r>
  <r>
    <x v="1345"/>
    <n v="439779"/>
    <x v="1"/>
    <s v="  "/>
    <s v="A177 "/>
    <s v="קרית גת, כרמי גת"/>
    <x v="21"/>
    <d v="2015-06-14T00:00:00"/>
    <x v="3"/>
    <n v="6"/>
    <s v="ים/364/2014"/>
    <x v="1"/>
    <n v="1"/>
    <m/>
    <n v="134151"/>
  </r>
  <r>
    <x v="1346"/>
    <n v="389728"/>
    <x v="1"/>
    <s v="  "/>
    <s v="B132 "/>
    <s v="קרית גת, כרמי גת"/>
    <x v="21"/>
    <d v="2015-06-14T00:00:00"/>
    <x v="3"/>
    <n v="6"/>
    <s v="ים/364/2014"/>
    <x v="1"/>
    <n v="1"/>
    <m/>
    <n v="134157"/>
  </r>
  <r>
    <x v="756"/>
    <n v="362871"/>
    <x v="1"/>
    <s v="  "/>
    <s v="A183 "/>
    <s v="קרית גת, כרמי גת"/>
    <x v="21"/>
    <d v="2015-06-14T00:00:00"/>
    <x v="3"/>
    <n v="6"/>
    <s v="ים/364/2014"/>
    <x v="1"/>
    <n v="1"/>
    <m/>
    <n v="135000"/>
  </r>
  <r>
    <x v="756"/>
    <n v="398274"/>
    <x v="1"/>
    <s v="  "/>
    <s v="B139 "/>
    <s v="קרית גת, כרמי גת"/>
    <x v="21"/>
    <d v="2015-06-14T00:00:00"/>
    <x v="3"/>
    <n v="6"/>
    <s v="ים/364/2014"/>
    <x v="1"/>
    <n v="1"/>
    <m/>
    <n v="135000"/>
  </r>
  <r>
    <x v="1347"/>
    <n v="444795"/>
    <x v="1"/>
    <s v="  "/>
    <n v="126"/>
    <s v="קרית גת, כרמי גת"/>
    <x v="21"/>
    <d v="2014-05-04T00:00:00"/>
    <x v="2"/>
    <n v="5"/>
    <s v="ים/388/2013"/>
    <x v="1"/>
    <n v="1"/>
    <m/>
    <n v="135155"/>
  </r>
  <r>
    <x v="1348"/>
    <n v="426351"/>
    <x v="1"/>
    <s v="  "/>
    <s v="A169 "/>
    <s v="קרית גת, כרמי גת"/>
    <x v="21"/>
    <d v="2015-06-14T00:00:00"/>
    <x v="3"/>
    <n v="6"/>
    <s v="ים/364/2014"/>
    <x v="1"/>
    <n v="1"/>
    <m/>
    <n v="135660"/>
  </r>
  <r>
    <x v="1349"/>
    <n v="389728"/>
    <x v="1"/>
    <s v="  "/>
    <s v="B148 "/>
    <s v="קרית גת, כרמי גת"/>
    <x v="21"/>
    <d v="2015-06-14T00:00:00"/>
    <x v="3"/>
    <n v="6"/>
    <s v="ים/364/2014"/>
    <x v="1"/>
    <n v="1"/>
    <m/>
    <n v="135875"/>
  </r>
  <r>
    <x v="1350"/>
    <n v="445984"/>
    <x v="1"/>
    <s v="  "/>
    <n v="142"/>
    <s v="קרית גת, כרמי גת"/>
    <x v="21"/>
    <d v="2014-05-04T00:00:00"/>
    <x v="2"/>
    <n v="5"/>
    <s v="ים/388/2013"/>
    <x v="1"/>
    <n v="1"/>
    <m/>
    <n v="136000"/>
  </r>
  <r>
    <x v="1351"/>
    <n v="443442"/>
    <x v="1"/>
    <s v="  "/>
    <s v="B113 "/>
    <s v="קרית גת, כרמי גת"/>
    <x v="21"/>
    <d v="2015-06-14T00:00:00"/>
    <x v="3"/>
    <n v="6"/>
    <s v="ים/364/2014"/>
    <x v="1"/>
    <n v="1"/>
    <m/>
    <n v="137100"/>
  </r>
  <r>
    <x v="1352"/>
    <n v="400715"/>
    <x v="1"/>
    <s v="  "/>
    <s v="A102 "/>
    <s v="קרית גת, כרמי גת"/>
    <x v="21"/>
    <d v="2015-06-14T00:00:00"/>
    <x v="3"/>
    <n v="6"/>
    <s v="ים/364/2014"/>
    <x v="1"/>
    <n v="1"/>
    <m/>
    <n v="137770"/>
  </r>
  <r>
    <x v="1353"/>
    <n v="442221"/>
    <x v="1"/>
    <s v="  "/>
    <s v="B137 "/>
    <s v="קרית גת, כרמי גת"/>
    <x v="21"/>
    <d v="2015-06-14T00:00:00"/>
    <x v="3"/>
    <n v="6"/>
    <s v="ים/364/2014"/>
    <x v="1"/>
    <n v="1"/>
    <m/>
    <n v="138000"/>
  </r>
  <r>
    <x v="765"/>
    <n v="334237"/>
    <x v="1"/>
    <s v="  "/>
    <n v="10"/>
    <s v="קרית גת, כרמי גת"/>
    <x v="21"/>
    <d v="2014-12-14T00:00:00"/>
    <x v="2"/>
    <n v="12"/>
    <s v="ים/161/2014"/>
    <x v="1"/>
    <n v="1"/>
    <m/>
    <n v="140000"/>
  </r>
  <r>
    <x v="1354"/>
    <n v="596765"/>
    <x v="1"/>
    <s v="  "/>
    <n v="130"/>
    <s v="קרית גת, כרמי גת"/>
    <x v="21"/>
    <d v="2015-06-14T00:00:00"/>
    <x v="3"/>
    <n v="6"/>
    <s v="ים/364/2014"/>
    <x v="1"/>
    <n v="1"/>
    <m/>
    <n v="140555"/>
  </r>
  <r>
    <x v="1355"/>
    <n v="383624"/>
    <x v="1"/>
    <s v="  "/>
    <s v="A173 "/>
    <s v="קרית גת, כרמי גת"/>
    <x v="21"/>
    <d v="2015-06-14T00:00:00"/>
    <x v="3"/>
    <n v="6"/>
    <s v="ים/364/2014"/>
    <x v="1"/>
    <n v="1"/>
    <m/>
    <n v="141000"/>
  </r>
  <r>
    <x v="1355"/>
    <n v="420247"/>
    <x v="1"/>
    <s v="  "/>
    <s v="A147 "/>
    <s v="קרית גת, כרמי גת"/>
    <x v="21"/>
    <d v="2015-06-14T00:00:00"/>
    <x v="3"/>
    <n v="6"/>
    <s v="ים/364/2014"/>
    <x v="1"/>
    <n v="1"/>
    <m/>
    <n v="141000"/>
  </r>
  <r>
    <x v="1356"/>
    <n v="561791"/>
    <x v="1"/>
    <s v="  "/>
    <s v="B177 "/>
    <s v="קרית גת, כרמי גת"/>
    <x v="21"/>
    <d v="2016-05-08T00:00:00"/>
    <x v="1"/>
    <n v="5"/>
    <s v="ים/20/2016"/>
    <x v="1"/>
    <n v="1"/>
    <m/>
    <n v="141200"/>
  </r>
  <r>
    <x v="1357"/>
    <n v="389728"/>
    <x v="1"/>
    <s v="  "/>
    <s v="A148 "/>
    <s v="קרית גת, כרמי גת"/>
    <x v="21"/>
    <d v="2015-06-14T00:00:00"/>
    <x v="3"/>
    <n v="6"/>
    <s v="ים/364/2014"/>
    <x v="1"/>
    <n v="1"/>
    <m/>
    <n v="141300"/>
  </r>
  <r>
    <x v="771"/>
    <n v="422689"/>
    <x v="1"/>
    <s v="  "/>
    <s v="A138 "/>
    <s v="קרית גת, כרמי גת"/>
    <x v="21"/>
    <d v="2015-06-14T00:00:00"/>
    <x v="3"/>
    <n v="6"/>
    <s v="ים/364/2014"/>
    <x v="1"/>
    <n v="1"/>
    <m/>
    <n v="141500"/>
  </r>
  <r>
    <x v="771"/>
    <n v="422689"/>
    <x v="1"/>
    <s v="  "/>
    <s v="B138 "/>
    <s v="קרית גת, כרמי גת"/>
    <x v="21"/>
    <d v="2015-06-14T00:00:00"/>
    <x v="3"/>
    <n v="6"/>
    <s v="ים/364/2014"/>
    <x v="1"/>
    <n v="1"/>
    <m/>
    <n v="141500"/>
  </r>
  <r>
    <x v="1358"/>
    <n v="321858"/>
    <x v="1"/>
    <s v="  "/>
    <n v="32"/>
    <s v="קרית גת, כרמי גת"/>
    <x v="21"/>
    <d v="2014-12-14T00:00:00"/>
    <x v="2"/>
    <n v="12"/>
    <s v="ים/161/2014"/>
    <x v="1"/>
    <n v="1"/>
    <m/>
    <n v="141976"/>
  </r>
  <r>
    <x v="781"/>
    <n v="430014"/>
    <x v="1"/>
    <s v="  "/>
    <s v="A171 "/>
    <s v="קרית גת, כרמי גת"/>
    <x v="21"/>
    <d v="2015-06-14T00:00:00"/>
    <x v="3"/>
    <n v="6"/>
    <s v="ים/364/2014"/>
    <x v="1"/>
    <n v="1"/>
    <m/>
    <n v="144000"/>
  </r>
  <r>
    <x v="782"/>
    <n v="386066"/>
    <x v="1"/>
    <s v="  "/>
    <s v="B105 "/>
    <s v="קרית גת, כרמי גת"/>
    <x v="21"/>
    <d v="2015-06-14T00:00:00"/>
    <x v="3"/>
    <n v="6"/>
    <s v="ים/364/2014"/>
    <x v="1"/>
    <n v="1"/>
    <m/>
    <n v="144111"/>
  </r>
  <r>
    <x v="1359"/>
    <n v="446306"/>
    <x v="1"/>
    <s v="  "/>
    <s v="A533 "/>
    <s v="קרית גת, כרמי גת"/>
    <x v="21"/>
    <d v="2016-12-18T00:00:00"/>
    <x v="1"/>
    <n v="12"/>
    <s v="ים/95/2016"/>
    <x v="1"/>
    <n v="1"/>
    <m/>
    <n v="144509"/>
  </r>
  <r>
    <x v="1360"/>
    <n v="386066"/>
    <x v="1"/>
    <s v="  "/>
    <s v="A158 "/>
    <s v="קרית גת, כרמי גת"/>
    <x v="21"/>
    <d v="2015-06-14T00:00:00"/>
    <x v="3"/>
    <n v="6"/>
    <s v="ים/364/2014"/>
    <x v="1"/>
    <n v="1"/>
    <m/>
    <n v="145000"/>
  </r>
  <r>
    <x v="1360"/>
    <n v="388507"/>
    <x v="1"/>
    <s v="  "/>
    <s v="B185 "/>
    <s v="קרית גת, כרמי גת"/>
    <x v="21"/>
    <d v="2015-06-14T00:00:00"/>
    <x v="3"/>
    <n v="6"/>
    <s v="ים/364/2014"/>
    <x v="1"/>
    <n v="1"/>
    <m/>
    <n v="145000"/>
  </r>
  <r>
    <x v="1361"/>
    <n v="392170"/>
    <x v="1"/>
    <s v="  "/>
    <s v="B187 "/>
    <s v="קרית גת, כרמי גת"/>
    <x v="21"/>
    <d v="2015-06-14T00:00:00"/>
    <x v="3"/>
    <n v="6"/>
    <s v="ים/364/2014"/>
    <x v="1"/>
    <n v="1"/>
    <m/>
    <n v="145026"/>
  </r>
  <r>
    <x v="1362"/>
    <n v="398274"/>
    <x v="1"/>
    <s v="  "/>
    <s v="A186 "/>
    <s v="קרית גת, כרמי גת"/>
    <x v="21"/>
    <d v="2015-06-14T00:00:00"/>
    <x v="3"/>
    <n v="6"/>
    <s v="ים/364/2014"/>
    <x v="1"/>
    <n v="1"/>
    <m/>
    <n v="145226"/>
  </r>
  <r>
    <x v="1363"/>
    <n v="321858"/>
    <x v="1"/>
    <s v="  "/>
    <n v="19"/>
    <s v="קרית גת, כרמי גת"/>
    <x v="21"/>
    <d v="2014-12-14T00:00:00"/>
    <x v="2"/>
    <n v="12"/>
    <s v="ים/161/2014"/>
    <x v="1"/>
    <n v="1"/>
    <m/>
    <n v="145601"/>
  </r>
  <r>
    <x v="786"/>
    <n v="321858"/>
    <x v="1"/>
    <s v="  "/>
    <n v="36"/>
    <s v="קרית גת, כרמי גת"/>
    <x v="21"/>
    <d v="2014-12-14T00:00:00"/>
    <x v="2"/>
    <n v="12"/>
    <s v="ים/161/2014"/>
    <x v="1"/>
    <n v="1"/>
    <m/>
    <n v="146000"/>
  </r>
  <r>
    <x v="1364"/>
    <n v="570401"/>
    <x v="1"/>
    <s v="  "/>
    <s v="B118 "/>
    <s v="קרית גת, כרמי גת"/>
    <x v="21"/>
    <d v="2015-06-14T00:00:00"/>
    <x v="3"/>
    <n v="6"/>
    <s v="ים/364/2014"/>
    <x v="1"/>
    <n v="1"/>
    <m/>
    <n v="146059"/>
  </r>
  <r>
    <x v="1365"/>
    <n v="375079"/>
    <x v="1"/>
    <s v="  "/>
    <s v="B183 "/>
    <s v="קרית גת, כרמי גת"/>
    <x v="21"/>
    <d v="2015-06-14T00:00:00"/>
    <x v="3"/>
    <n v="6"/>
    <s v="ים/364/2014"/>
    <x v="1"/>
    <n v="1"/>
    <m/>
    <n v="148306"/>
  </r>
  <r>
    <x v="1366"/>
    <n v="417342"/>
    <x v="1"/>
    <s v="  "/>
    <s v="A364 "/>
    <s v="קרית גת, כרמי גת"/>
    <x v="21"/>
    <d v="2016-12-18T00:00:00"/>
    <x v="1"/>
    <n v="12"/>
    <s v="ים/95/2016"/>
    <x v="1"/>
    <n v="1"/>
    <m/>
    <n v="148510"/>
  </r>
  <r>
    <x v="1367"/>
    <n v="392170"/>
    <x v="1"/>
    <s v="  "/>
    <s v="A190 "/>
    <s v="קרית גת, כרמי גת"/>
    <x v="21"/>
    <d v="2015-06-14T00:00:00"/>
    <x v="3"/>
    <n v="6"/>
    <s v="ים/364/2014"/>
    <x v="1"/>
    <n v="1"/>
    <m/>
    <n v="148526"/>
  </r>
  <r>
    <x v="1368"/>
    <n v="538724"/>
    <x v="1"/>
    <s v="  "/>
    <n v="528"/>
    <s v="קרית גת, כרמי גת"/>
    <x v="21"/>
    <d v="2016-12-18T00:00:00"/>
    <x v="1"/>
    <n v="12"/>
    <s v="ים/95/2016"/>
    <x v="1"/>
    <n v="1"/>
    <m/>
    <n v="149000"/>
  </r>
  <r>
    <x v="1369"/>
    <n v="388507"/>
    <x v="1"/>
    <s v="  "/>
    <s v="A185 "/>
    <s v="קרית גת, כרמי גת"/>
    <x v="21"/>
    <d v="2015-06-14T00:00:00"/>
    <x v="3"/>
    <n v="6"/>
    <s v="ים/364/2014"/>
    <x v="1"/>
    <n v="1"/>
    <m/>
    <n v="149008"/>
  </r>
  <r>
    <x v="1370"/>
    <n v="417342"/>
    <x v="1"/>
    <s v="  "/>
    <s v="A365 "/>
    <s v="קרית גת, כרמי גת"/>
    <x v="21"/>
    <d v="2016-12-18T00:00:00"/>
    <x v="1"/>
    <n v="12"/>
    <s v="ים/95/2016"/>
    <x v="1"/>
    <n v="1"/>
    <m/>
    <n v="149999"/>
  </r>
  <r>
    <x v="794"/>
    <n v="321858"/>
    <x v="1"/>
    <s v="  "/>
    <s v="A38 "/>
    <s v="קרית גת, כרמי גת"/>
    <x v="21"/>
    <d v="2014-12-14T00:00:00"/>
    <x v="2"/>
    <n v="12"/>
    <s v="ים/161/2014"/>
    <x v="1"/>
    <n v="1"/>
    <m/>
    <n v="150000"/>
  </r>
  <r>
    <x v="794"/>
    <n v="456870"/>
    <x v="1"/>
    <s v="  "/>
    <s v="B141 "/>
    <s v="קרית גת, כרמי גת"/>
    <x v="21"/>
    <d v="2015-06-14T00:00:00"/>
    <x v="3"/>
    <n v="6"/>
    <s v="ים/364/2014"/>
    <x v="1"/>
    <n v="1"/>
    <m/>
    <n v="150000"/>
  </r>
  <r>
    <x v="1371"/>
    <n v="443442"/>
    <x v="1"/>
    <s v="  "/>
    <s v="A111 "/>
    <s v="קרית גת, כרמי גת"/>
    <x v="21"/>
    <d v="2015-06-14T00:00:00"/>
    <x v="3"/>
    <n v="6"/>
    <s v="ים/364/2014"/>
    <x v="1"/>
    <n v="1"/>
    <m/>
    <n v="150001"/>
  </r>
  <r>
    <x v="1372"/>
    <n v="417342"/>
    <x v="1"/>
    <s v="  "/>
    <s v="A362 "/>
    <s v="קרית גת, כרמי גת"/>
    <x v="21"/>
    <d v="2016-12-18T00:00:00"/>
    <x v="1"/>
    <n v="12"/>
    <s v="ים/95/2016"/>
    <x v="1"/>
    <n v="1"/>
    <m/>
    <n v="150400"/>
  </r>
  <r>
    <x v="1373"/>
    <n v="425130"/>
    <x v="1"/>
    <s v="  "/>
    <s v="B175 "/>
    <s v="קרית גת, כרמי גת"/>
    <x v="21"/>
    <d v="2015-06-14T00:00:00"/>
    <x v="3"/>
    <n v="6"/>
    <s v="ים/364/2014"/>
    <x v="1"/>
    <n v="1"/>
    <m/>
    <n v="150556"/>
  </r>
  <r>
    <x v="1373"/>
    <n v="441000"/>
    <x v="1"/>
    <s v="  "/>
    <s v="A175 "/>
    <s v="קרית גת, כרמי גת"/>
    <x v="21"/>
    <d v="2015-06-14T00:00:00"/>
    <x v="3"/>
    <n v="6"/>
    <s v="ים/364/2014"/>
    <x v="1"/>
    <n v="1"/>
    <m/>
    <n v="150556"/>
  </r>
  <r>
    <x v="800"/>
    <n v="411711"/>
    <x v="1"/>
    <s v="  "/>
    <s v="A375 "/>
    <s v="קרית גת, כרמי גת"/>
    <x v="21"/>
    <d v="2016-12-18T00:00:00"/>
    <x v="1"/>
    <n v="12"/>
    <s v="ים/95/2016"/>
    <x v="1"/>
    <n v="1"/>
    <m/>
    <n v="151000"/>
  </r>
  <r>
    <x v="800"/>
    <n v="420247"/>
    <x v="1"/>
    <s v="  "/>
    <s v="A141 "/>
    <s v="קרית גת, כרמי גת"/>
    <x v="21"/>
    <d v="2015-06-14T00:00:00"/>
    <x v="3"/>
    <n v="6"/>
    <s v="ים/364/2014"/>
    <x v="1"/>
    <n v="1"/>
    <m/>
    <n v="151000"/>
  </r>
  <r>
    <x v="1374"/>
    <n v="482506"/>
    <x v="1"/>
    <s v="  "/>
    <s v="A126 "/>
    <s v="קרית גת, כרמי גת"/>
    <x v="21"/>
    <d v="2015-06-14T00:00:00"/>
    <x v="3"/>
    <n v="6"/>
    <s v="ים/364/2014"/>
    <x v="1"/>
    <n v="1"/>
    <m/>
    <n v="151896"/>
  </r>
  <r>
    <x v="1375"/>
    <n v="417342"/>
    <x v="1"/>
    <s v="  "/>
    <s v="B362 "/>
    <s v="קרית גת, כרמי גת"/>
    <x v="21"/>
    <d v="2016-12-18T00:00:00"/>
    <x v="1"/>
    <n v="12"/>
    <s v="ים/95/2016"/>
    <x v="1"/>
    <n v="1"/>
    <m/>
    <n v="152100"/>
  </r>
  <r>
    <x v="1376"/>
    <n v="407942"/>
    <x v="1"/>
    <s v="  "/>
    <s v="B365 "/>
    <s v="קרית גת, כרמי גת"/>
    <x v="21"/>
    <d v="2016-12-18T00:00:00"/>
    <x v="1"/>
    <n v="12"/>
    <s v="ים/95/2016"/>
    <x v="1"/>
    <n v="1"/>
    <m/>
    <n v="152520"/>
  </r>
  <r>
    <x v="1377"/>
    <n v="321858"/>
    <x v="1"/>
    <s v="  "/>
    <n v="18"/>
    <s v="קרית גת, כרמי גת"/>
    <x v="21"/>
    <d v="2014-12-14T00:00:00"/>
    <x v="2"/>
    <n v="12"/>
    <s v="ים/161/2014"/>
    <x v="1"/>
    <n v="1"/>
    <m/>
    <n v="152666"/>
  </r>
  <r>
    <x v="1378"/>
    <n v="400715"/>
    <x v="1"/>
    <s v="  "/>
    <s v="A193 "/>
    <s v="קרית גת, כרמי גת"/>
    <x v="21"/>
    <d v="2015-06-14T00:00:00"/>
    <x v="3"/>
    <n v="6"/>
    <s v="ים/364/2014"/>
    <x v="1"/>
    <n v="1"/>
    <m/>
    <n v="153400"/>
  </r>
  <r>
    <x v="1379"/>
    <n v="389728"/>
    <x v="1"/>
    <s v="  "/>
    <s v="B150 "/>
    <s v="קרית גת, כרמי גת"/>
    <x v="21"/>
    <d v="2015-06-14T00:00:00"/>
    <x v="3"/>
    <n v="6"/>
    <s v="ים/364/2014"/>
    <x v="1"/>
    <n v="1"/>
    <m/>
    <n v="153720"/>
  </r>
  <r>
    <x v="1380"/>
    <n v="450200"/>
    <x v="1"/>
    <s v="  "/>
    <n v="155"/>
    <s v="קרית גת, כרמי גת"/>
    <x v="21"/>
    <d v="2014-05-04T00:00:00"/>
    <x v="2"/>
    <n v="5"/>
    <s v="ים/388/2013"/>
    <x v="1"/>
    <n v="1"/>
    <m/>
    <n v="155000"/>
  </r>
  <r>
    <x v="1381"/>
    <n v="421468"/>
    <x v="1"/>
    <s v="  "/>
    <s v="A118 "/>
    <s v="קרית גת, כרמי גת"/>
    <x v="21"/>
    <d v="2015-06-14T00:00:00"/>
    <x v="3"/>
    <n v="6"/>
    <s v="ים/364/2014"/>
    <x v="1"/>
    <n v="1"/>
    <m/>
    <n v="155559"/>
  </r>
  <r>
    <x v="1382"/>
    <n v="445411"/>
    <x v="1"/>
    <s v="  "/>
    <n v="123"/>
    <s v="קרית גת, כרמי גת"/>
    <x v="21"/>
    <d v="2015-06-14T00:00:00"/>
    <x v="3"/>
    <n v="6"/>
    <s v="ים/364/2014"/>
    <x v="1"/>
    <n v="1"/>
    <m/>
    <n v="155600"/>
  </r>
  <r>
    <x v="1383"/>
    <n v="321858"/>
    <x v="1"/>
    <s v="  "/>
    <s v="A14 "/>
    <s v="קרית גת, כרמי גת"/>
    <x v="21"/>
    <d v="2014-12-14T00:00:00"/>
    <x v="2"/>
    <n v="12"/>
    <s v="ים/161/2014"/>
    <x v="1"/>
    <n v="1"/>
    <m/>
    <n v="156666"/>
  </r>
  <r>
    <x v="1384"/>
    <n v="395101"/>
    <x v="1"/>
    <s v="  "/>
    <n v="33"/>
    <s v="קרית גת, כרמי גת"/>
    <x v="21"/>
    <d v="2014-12-14T00:00:00"/>
    <x v="2"/>
    <n v="12"/>
    <s v="ים/161/2014"/>
    <x v="1"/>
    <n v="1"/>
    <m/>
    <n v="156705"/>
  </r>
  <r>
    <x v="1385"/>
    <n v="442958"/>
    <x v="1"/>
    <s v="  "/>
    <n v="129"/>
    <s v="קרית גת, כרמי גת"/>
    <x v="21"/>
    <d v="2014-05-04T00:00:00"/>
    <x v="2"/>
    <n v="5"/>
    <s v="ים/388/2013"/>
    <x v="1"/>
    <n v="1"/>
    <m/>
    <n v="157860"/>
  </r>
  <r>
    <x v="1386"/>
    <n v="321858"/>
    <x v="1"/>
    <s v="  "/>
    <s v="A17 "/>
    <s v="קרית גת, כרמי גת"/>
    <x v="21"/>
    <d v="2014-12-14T00:00:00"/>
    <x v="2"/>
    <n v="12"/>
    <s v="ים/161/2014"/>
    <x v="1"/>
    <n v="1"/>
    <m/>
    <n v="159735"/>
  </r>
  <r>
    <x v="822"/>
    <n v="476397"/>
    <x v="1"/>
    <s v="  "/>
    <n v="194"/>
    <s v="קרית גת, כרמי גת"/>
    <x v="21"/>
    <d v="2015-06-14T00:00:00"/>
    <x v="3"/>
    <n v="6"/>
    <s v="ים/364/2014"/>
    <x v="1"/>
    <n v="1"/>
    <m/>
    <n v="160000"/>
  </r>
  <r>
    <x v="1387"/>
    <n v="314637"/>
    <x v="1"/>
    <s v="  "/>
    <s v="A16 "/>
    <s v="קרית גת, כרמי גת"/>
    <x v="21"/>
    <d v="2014-12-14T00:00:00"/>
    <x v="2"/>
    <n v="12"/>
    <s v="ים/161/2014"/>
    <x v="1"/>
    <n v="1"/>
    <m/>
    <n v="160162"/>
  </r>
  <r>
    <x v="1388"/>
    <n v="422530"/>
    <x v="1"/>
    <s v="  "/>
    <n v="51"/>
    <s v="קרית גת, כרמי גת"/>
    <x v="21"/>
    <d v="2014-05-04T00:00:00"/>
    <x v="2"/>
    <n v="5"/>
    <s v="ים/388/2013"/>
    <x v="1"/>
    <n v="1"/>
    <m/>
    <n v="161200"/>
  </r>
  <r>
    <x v="1389"/>
    <n v="432455"/>
    <x v="1"/>
    <s v="  "/>
    <s v="B157 "/>
    <s v="קרית גת, כרמי גת"/>
    <x v="21"/>
    <d v="2015-06-14T00:00:00"/>
    <x v="3"/>
    <n v="6"/>
    <s v="ים/364/2014"/>
    <x v="1"/>
    <n v="1"/>
    <m/>
    <n v="161450"/>
  </r>
  <r>
    <x v="1390"/>
    <n v="395832"/>
    <x v="1"/>
    <s v="  "/>
    <s v="B142 "/>
    <s v="קרית גת, כרמי גת"/>
    <x v="21"/>
    <d v="2015-06-14T00:00:00"/>
    <x v="3"/>
    <n v="6"/>
    <s v="ים/364/2014"/>
    <x v="1"/>
    <n v="1"/>
    <m/>
    <n v="161900"/>
  </r>
  <r>
    <x v="1391"/>
    <n v="321858"/>
    <x v="1"/>
    <s v="  "/>
    <n v="34"/>
    <s v="קרית גת, כרמי גת"/>
    <x v="21"/>
    <d v="2014-12-14T00:00:00"/>
    <x v="2"/>
    <n v="12"/>
    <s v="ים/161/2014"/>
    <x v="1"/>
    <n v="1"/>
    <m/>
    <n v="161999"/>
  </r>
  <r>
    <x v="1392"/>
    <n v="321858"/>
    <x v="1"/>
    <s v="  "/>
    <n v="30"/>
    <s v="קרית גת, כרמי גת"/>
    <x v="21"/>
    <d v="2014-12-14T00:00:00"/>
    <x v="2"/>
    <n v="12"/>
    <s v="ים/161/2014"/>
    <x v="1"/>
    <n v="1"/>
    <m/>
    <n v="162000"/>
  </r>
  <r>
    <x v="1393"/>
    <n v="431242"/>
    <x v="1"/>
    <s v="  "/>
    <s v="B535 "/>
    <s v="קרית גת, כרמי גת"/>
    <x v="21"/>
    <d v="2016-12-18T00:00:00"/>
    <x v="1"/>
    <n v="12"/>
    <s v="ים/95/2016"/>
    <x v="1"/>
    <n v="1"/>
    <m/>
    <n v="162555"/>
  </r>
  <r>
    <x v="1394"/>
    <n v="321858"/>
    <x v="1"/>
    <s v="  "/>
    <s v="A32 "/>
    <s v="קרית גת, כרמי גת"/>
    <x v="21"/>
    <d v="2014-12-14T00:00:00"/>
    <x v="2"/>
    <n v="12"/>
    <s v="ים/161/2014"/>
    <x v="1"/>
    <n v="1"/>
    <m/>
    <n v="162729"/>
  </r>
  <r>
    <x v="1395"/>
    <n v="321858"/>
    <x v="1"/>
    <s v="  "/>
    <s v="A36 "/>
    <s v="קרית גת, כרמי גת"/>
    <x v="21"/>
    <d v="2014-12-14T00:00:00"/>
    <x v="2"/>
    <n v="12"/>
    <s v="ים/161/2014"/>
    <x v="1"/>
    <n v="1"/>
    <m/>
    <n v="162766"/>
  </r>
  <r>
    <x v="1396"/>
    <n v="450200"/>
    <x v="1"/>
    <s v="  "/>
    <n v="152"/>
    <s v="קרית גת, כרמי גת"/>
    <x v="21"/>
    <d v="2014-05-04T00:00:00"/>
    <x v="2"/>
    <n v="5"/>
    <s v="ים/388/2013"/>
    <x v="1"/>
    <n v="1"/>
    <m/>
    <n v="162800"/>
  </r>
  <r>
    <x v="1397"/>
    <n v="321858"/>
    <x v="1"/>
    <s v="  "/>
    <s v="A20 "/>
    <s v="קרית גת, כרמי גת"/>
    <x v="21"/>
    <d v="2014-12-14T00:00:00"/>
    <x v="2"/>
    <n v="12"/>
    <s v="ים/161/2014"/>
    <x v="1"/>
    <n v="1"/>
    <m/>
    <n v="163000"/>
  </r>
  <r>
    <x v="1398"/>
    <n v="362871"/>
    <x v="1"/>
    <s v="  "/>
    <s v="B181 "/>
    <s v="קרית גת, כרמי גת"/>
    <x v="21"/>
    <d v="2015-06-14T00:00:00"/>
    <x v="3"/>
    <n v="6"/>
    <s v="ים/364/2014"/>
    <x v="1"/>
    <n v="1"/>
    <m/>
    <n v="163500"/>
  </r>
  <r>
    <x v="1398"/>
    <n v="411702"/>
    <x v="1"/>
    <s v="  "/>
    <s v="B178 "/>
    <s v="קרית גת, כרמי גת"/>
    <x v="21"/>
    <d v="2015-06-14T00:00:00"/>
    <x v="3"/>
    <n v="6"/>
    <s v="ים/364/2014"/>
    <x v="1"/>
    <n v="1"/>
    <m/>
    <n v="163500"/>
  </r>
  <r>
    <x v="1399"/>
    <n v="261062"/>
    <x v="1"/>
    <s v="  "/>
    <n v="16"/>
    <s v="קרית גת, כרמי גת נכים"/>
    <x v="21"/>
    <d v="2016-04-04T00:00:00"/>
    <x v="1"/>
    <n v="4"/>
    <s v="ים/235/2015"/>
    <x v="1"/>
    <n v="1"/>
    <n v="312"/>
    <n v="164710"/>
  </r>
  <r>
    <x v="1400"/>
    <n v="321858"/>
    <x v="1"/>
    <s v="  "/>
    <s v="A35 "/>
    <s v="קרית גת, כרמי גת"/>
    <x v="21"/>
    <d v="2014-12-14T00:00:00"/>
    <x v="2"/>
    <n v="12"/>
    <s v="ים/161/2014"/>
    <x v="1"/>
    <n v="1"/>
    <m/>
    <n v="165000"/>
  </r>
  <r>
    <x v="1400"/>
    <n v="321858"/>
    <x v="1"/>
    <s v="  "/>
    <n v="35"/>
    <s v="קרית גת, כרמי גת"/>
    <x v="21"/>
    <d v="2014-12-14T00:00:00"/>
    <x v="2"/>
    <n v="12"/>
    <s v="ים/161/2014"/>
    <x v="1"/>
    <n v="1"/>
    <m/>
    <n v="165000"/>
  </r>
  <r>
    <x v="1400"/>
    <n v="345585"/>
    <x v="1"/>
    <s v="  "/>
    <s v="A40 "/>
    <s v="קרית גת, כרמי גת"/>
    <x v="21"/>
    <d v="2014-12-14T00:00:00"/>
    <x v="2"/>
    <n v="12"/>
    <s v="ים/161/2014"/>
    <x v="1"/>
    <n v="1"/>
    <m/>
    <n v="165000"/>
  </r>
  <r>
    <x v="1401"/>
    <n v="321858"/>
    <x v="1"/>
    <s v="  "/>
    <n v="20"/>
    <s v="קרית גת, כרמי גת"/>
    <x v="21"/>
    <d v="2014-12-14T00:00:00"/>
    <x v="2"/>
    <n v="12"/>
    <s v="ים/161/2014"/>
    <x v="1"/>
    <n v="1"/>
    <m/>
    <n v="165762"/>
  </r>
  <r>
    <x v="1402"/>
    <n v="430306"/>
    <x v="1"/>
    <s v="  "/>
    <s v="B271 "/>
    <s v="קרית גת, כרמי גת"/>
    <x v="21"/>
    <d v="2016-12-18T00:00:00"/>
    <x v="1"/>
    <n v="12"/>
    <s v="ים/95/2016"/>
    <x v="1"/>
    <n v="1"/>
    <m/>
    <n v="166000"/>
  </r>
  <r>
    <x v="1403"/>
    <n v="431242"/>
    <x v="1"/>
    <s v="  "/>
    <s v="A536 "/>
    <s v="קרית גת, כרמי גת"/>
    <x v="21"/>
    <d v="2016-12-18T00:00:00"/>
    <x v="1"/>
    <n v="12"/>
    <s v="ים/95/2016"/>
    <x v="1"/>
    <n v="1"/>
    <m/>
    <n v="166620"/>
  </r>
  <r>
    <x v="1404"/>
    <n v="431242"/>
    <x v="1"/>
    <s v="  "/>
    <s v="B536 "/>
    <s v="קרית גת, כרמי גת"/>
    <x v="21"/>
    <d v="2016-12-18T00:00:00"/>
    <x v="1"/>
    <n v="12"/>
    <s v="ים/95/2016"/>
    <x v="1"/>
    <n v="1"/>
    <m/>
    <n v="168000"/>
  </r>
  <r>
    <x v="1405"/>
    <n v="321858"/>
    <x v="1"/>
    <s v="  "/>
    <n v="38"/>
    <s v="קרית גת, כרמי גת"/>
    <x v="21"/>
    <d v="2014-12-14T00:00:00"/>
    <x v="2"/>
    <n v="12"/>
    <s v="ים/161/2014"/>
    <x v="1"/>
    <n v="1"/>
    <m/>
    <n v="168300"/>
  </r>
  <r>
    <x v="1406"/>
    <n v="419026"/>
    <x v="1"/>
    <s v="  "/>
    <s v="B102 "/>
    <s v="קרית גת, כרמי גת"/>
    <x v="21"/>
    <d v="2015-06-14T00:00:00"/>
    <x v="3"/>
    <n v="6"/>
    <s v="ים/364/2014"/>
    <x v="1"/>
    <n v="1"/>
    <m/>
    <n v="169000"/>
  </r>
  <r>
    <x v="1407"/>
    <n v="321858"/>
    <x v="1"/>
    <s v="  "/>
    <n v="13"/>
    <s v="קרית גת, כרמי גת"/>
    <x v="21"/>
    <d v="2014-12-14T00:00:00"/>
    <x v="2"/>
    <n v="12"/>
    <s v="ים/161/2014"/>
    <x v="1"/>
    <n v="1"/>
    <m/>
    <n v="169145"/>
  </r>
  <r>
    <x v="1408"/>
    <n v="352806"/>
    <x v="1"/>
    <s v="  "/>
    <s v="A30 "/>
    <s v="קרית גת, כרמי גת"/>
    <x v="21"/>
    <d v="2014-12-14T00:00:00"/>
    <x v="2"/>
    <n v="12"/>
    <s v="ים/161/2014"/>
    <x v="1"/>
    <n v="1"/>
    <m/>
    <n v="169280"/>
  </r>
  <r>
    <x v="1409"/>
    <n v="450200"/>
    <x v="1"/>
    <s v="  "/>
    <n v="151"/>
    <s v="קרית גת, כרמי גת"/>
    <x v="21"/>
    <d v="2014-05-04T00:00:00"/>
    <x v="2"/>
    <n v="5"/>
    <s v="ים/388/2013"/>
    <x v="1"/>
    <n v="1"/>
    <m/>
    <n v="169674"/>
  </r>
  <r>
    <x v="843"/>
    <n v="352806"/>
    <x v="1"/>
    <s v="  "/>
    <s v="A21 "/>
    <s v="קרית גת, כרמי גת"/>
    <x v="21"/>
    <d v="2014-12-14T00:00:00"/>
    <x v="2"/>
    <n v="12"/>
    <s v="ים/161/2014"/>
    <x v="1"/>
    <n v="1"/>
    <m/>
    <n v="170000"/>
  </r>
  <r>
    <x v="843"/>
    <n v="431242"/>
    <x v="1"/>
    <s v="  "/>
    <s v="A537 "/>
    <s v="קרית גת, כרמי גת"/>
    <x v="21"/>
    <d v="2016-12-18T00:00:00"/>
    <x v="1"/>
    <n v="12"/>
    <s v="ים/95/2016"/>
    <x v="1"/>
    <n v="1"/>
    <m/>
    <n v="170000"/>
  </r>
  <r>
    <x v="1410"/>
    <n v="420247"/>
    <x v="1"/>
    <s v="  "/>
    <s v="B161 "/>
    <s v="קרית גת, כרמי גת"/>
    <x v="21"/>
    <d v="2015-06-14T00:00:00"/>
    <x v="3"/>
    <n v="6"/>
    <s v="ים/364/2014"/>
    <x v="1"/>
    <n v="1"/>
    <m/>
    <n v="170012"/>
  </r>
  <r>
    <x v="1411"/>
    <n v="430306"/>
    <x v="1"/>
    <s v="  "/>
    <s v="A263 "/>
    <s v="קרית גת, כרמי גת"/>
    <x v="21"/>
    <d v="2016-12-18T00:00:00"/>
    <x v="1"/>
    <n v="12"/>
    <s v="ים/95/2016"/>
    <x v="1"/>
    <n v="1"/>
    <m/>
    <n v="171171"/>
  </r>
  <r>
    <x v="1412"/>
    <n v="420247"/>
    <x v="1"/>
    <s v="  "/>
    <s v="B184 "/>
    <s v="קרית גת, כרמי גת"/>
    <x v="21"/>
    <d v="2015-06-14T00:00:00"/>
    <x v="3"/>
    <n v="6"/>
    <s v="ים/364/2014"/>
    <x v="1"/>
    <n v="1"/>
    <m/>
    <n v="171840"/>
  </r>
  <r>
    <x v="1413"/>
    <n v="389728"/>
    <x v="1"/>
    <s v="  "/>
    <s v="B165 "/>
    <s v="קרית גת, כרמי גת"/>
    <x v="21"/>
    <d v="2015-06-14T00:00:00"/>
    <x v="3"/>
    <n v="6"/>
    <s v="ים/364/2014"/>
    <x v="1"/>
    <n v="1"/>
    <m/>
    <n v="172240"/>
  </r>
  <r>
    <x v="1414"/>
    <n v="445984"/>
    <x v="1"/>
    <s v="  "/>
    <n v="128"/>
    <s v="קרית גת, כרמי גת"/>
    <x v="21"/>
    <d v="2014-05-04T00:00:00"/>
    <x v="2"/>
    <n v="5"/>
    <s v="ים/388/2013"/>
    <x v="1"/>
    <n v="1"/>
    <m/>
    <n v="173000"/>
  </r>
  <r>
    <x v="1415"/>
    <n v="389728"/>
    <x v="1"/>
    <s v="  "/>
    <s v="A165 "/>
    <s v="קרית גת, כרמי גת"/>
    <x v="21"/>
    <d v="2015-06-14T00:00:00"/>
    <x v="3"/>
    <n v="6"/>
    <s v="ים/364/2014"/>
    <x v="1"/>
    <n v="1"/>
    <m/>
    <n v="174000"/>
  </r>
  <r>
    <x v="1416"/>
    <n v="375079"/>
    <x v="1"/>
    <s v="  "/>
    <s v="B119 "/>
    <s v="קרית גת, כרמי גת"/>
    <x v="21"/>
    <d v="2015-06-14T00:00:00"/>
    <x v="3"/>
    <n v="6"/>
    <s v="ים/364/2014"/>
    <x v="1"/>
    <n v="1"/>
    <m/>
    <n v="174919"/>
  </r>
  <r>
    <x v="859"/>
    <n v="422530"/>
    <x v="1"/>
    <s v="  "/>
    <n v="62"/>
    <s v="קרית גת, כרמי גת"/>
    <x v="21"/>
    <d v="2014-05-04T00:00:00"/>
    <x v="2"/>
    <n v="5"/>
    <s v="ים/388/2013"/>
    <x v="1"/>
    <n v="1"/>
    <m/>
    <n v="175000"/>
  </r>
  <r>
    <x v="859"/>
    <n v="445411"/>
    <x v="1"/>
    <s v="  "/>
    <n v="156"/>
    <s v="קרית גת, כרמי גת"/>
    <x v="21"/>
    <d v="2015-06-14T00:00:00"/>
    <x v="3"/>
    <n v="6"/>
    <s v="ים/364/2014"/>
    <x v="1"/>
    <n v="1"/>
    <m/>
    <n v="175000"/>
  </r>
  <r>
    <x v="1417"/>
    <n v="385817"/>
    <x v="1"/>
    <s v="  "/>
    <s v="A9 "/>
    <s v="קרית גת, כרמי גת"/>
    <x v="21"/>
    <d v="2014-12-14T00:00:00"/>
    <x v="2"/>
    <n v="12"/>
    <s v="ים/161/2014"/>
    <x v="1"/>
    <n v="1"/>
    <m/>
    <n v="176000"/>
  </r>
  <r>
    <x v="1418"/>
    <n v="414143"/>
    <x v="1"/>
    <s v="  "/>
    <s v="A101 "/>
    <s v="קרית גת, כרמי גת"/>
    <x v="21"/>
    <d v="2015-06-14T00:00:00"/>
    <x v="3"/>
    <n v="6"/>
    <s v="ים/364/2014"/>
    <x v="1"/>
    <n v="1"/>
    <m/>
    <n v="176089"/>
  </r>
  <r>
    <x v="1419"/>
    <n v="423608"/>
    <x v="1"/>
    <s v="  "/>
    <s v="A530 "/>
    <s v="קרית גת, כרמי גת"/>
    <x v="21"/>
    <d v="2016-12-18T00:00:00"/>
    <x v="1"/>
    <n v="12"/>
    <s v="ים/95/2016"/>
    <x v="1"/>
    <n v="1"/>
    <m/>
    <n v="177000"/>
  </r>
  <r>
    <x v="1420"/>
    <n v="445984"/>
    <x v="1"/>
    <s v="  "/>
    <n v="143"/>
    <s v="קרית גת, כרמי גת"/>
    <x v="21"/>
    <d v="2014-05-04T00:00:00"/>
    <x v="2"/>
    <n v="5"/>
    <s v="ים/388/2013"/>
    <x v="1"/>
    <n v="1"/>
    <m/>
    <n v="177770"/>
  </r>
  <r>
    <x v="1258"/>
    <n v="385817"/>
    <x v="1"/>
    <s v="  "/>
    <n v="41"/>
    <s v="קרית גת, כרמי גת"/>
    <x v="21"/>
    <d v="2014-12-14T00:00:00"/>
    <x v="2"/>
    <n v="12"/>
    <s v="ים/161/2014"/>
    <x v="1"/>
    <n v="1"/>
    <m/>
    <n v="177777"/>
  </r>
  <r>
    <x v="1258"/>
    <n v="430306"/>
    <x v="1"/>
    <s v="  "/>
    <s v="B261 "/>
    <s v="קרית גת, כרמי גת"/>
    <x v="21"/>
    <d v="2016-12-18T00:00:00"/>
    <x v="1"/>
    <n v="12"/>
    <s v="ים/95/2016"/>
    <x v="1"/>
    <n v="1"/>
    <m/>
    <n v="177777"/>
  </r>
  <r>
    <x v="1421"/>
    <n v="321858"/>
    <x v="1"/>
    <s v="  "/>
    <n v="21"/>
    <s v="קרית גת, כרמי גת"/>
    <x v="21"/>
    <d v="2014-12-14T00:00:00"/>
    <x v="2"/>
    <n v="12"/>
    <s v="ים/161/2014"/>
    <x v="1"/>
    <n v="1"/>
    <m/>
    <n v="178000"/>
  </r>
  <r>
    <x v="1421"/>
    <n v="389728"/>
    <x v="1"/>
    <s v="  "/>
    <s v="A136 "/>
    <s v="קרית גת, כרמי גת"/>
    <x v="21"/>
    <d v="2015-06-14T00:00:00"/>
    <x v="3"/>
    <n v="6"/>
    <s v="ים/364/2014"/>
    <x v="1"/>
    <n v="1"/>
    <m/>
    <n v="178000"/>
  </r>
  <r>
    <x v="1422"/>
    <n v="451987"/>
    <x v="1"/>
    <s v="  "/>
    <s v="B189 "/>
    <s v="קרית גת, כרמי גת"/>
    <x v="21"/>
    <d v="2015-06-14T00:00:00"/>
    <x v="3"/>
    <n v="6"/>
    <s v="ים/364/2014"/>
    <x v="1"/>
    <n v="1"/>
    <m/>
    <n v="178011"/>
  </r>
  <r>
    <x v="1423"/>
    <n v="431940"/>
    <x v="1"/>
    <s v="  "/>
    <n v="145"/>
    <s v="קרית גת, כרמי גת"/>
    <x v="21"/>
    <d v="2014-05-04T00:00:00"/>
    <x v="2"/>
    <n v="5"/>
    <s v="ים/388/2013"/>
    <x v="1"/>
    <n v="1"/>
    <m/>
    <n v="178400"/>
  </r>
  <r>
    <x v="1424"/>
    <n v="420247"/>
    <x v="1"/>
    <s v="  "/>
    <s v="B131 "/>
    <s v="קרית גת, כרמי גת"/>
    <x v="21"/>
    <d v="2015-06-14T00:00:00"/>
    <x v="3"/>
    <n v="6"/>
    <s v="ים/364/2014"/>
    <x v="1"/>
    <n v="1"/>
    <m/>
    <n v="179976"/>
  </r>
  <r>
    <x v="1425"/>
    <n v="321858"/>
    <x v="1"/>
    <s v="  "/>
    <n v="14"/>
    <s v="קרית גת, כרמי גת"/>
    <x v="21"/>
    <d v="2014-12-14T00:00:00"/>
    <x v="2"/>
    <n v="12"/>
    <s v="ים/161/2014"/>
    <x v="1"/>
    <n v="1"/>
    <m/>
    <n v="180000"/>
  </r>
  <r>
    <x v="1426"/>
    <n v="350642"/>
    <x v="1"/>
    <s v="  "/>
    <n v="8"/>
    <s v="קרית גת, כרמי גת נכים"/>
    <x v="21"/>
    <d v="2016-04-04T00:00:00"/>
    <x v="1"/>
    <n v="4"/>
    <s v="ים/235/2015"/>
    <x v="1"/>
    <n v="1"/>
    <n v="456"/>
    <n v="180180"/>
  </r>
  <r>
    <x v="1426"/>
    <n v="445984"/>
    <x v="1"/>
    <s v="  "/>
    <n v="144"/>
    <s v="קרית גת, כרמי גת"/>
    <x v="21"/>
    <d v="2014-05-04T00:00:00"/>
    <x v="2"/>
    <n v="5"/>
    <s v="ים/388/2013"/>
    <x v="1"/>
    <n v="1"/>
    <m/>
    <n v="180180"/>
  </r>
  <r>
    <x v="1426"/>
    <n v="445984"/>
    <x v="1"/>
    <s v="  "/>
    <n v="147"/>
    <s v="קרית גת, כרמי גת"/>
    <x v="21"/>
    <d v="2014-05-04T00:00:00"/>
    <x v="2"/>
    <n v="5"/>
    <s v="ים/388/2013"/>
    <x v="1"/>
    <n v="1"/>
    <m/>
    <n v="180180"/>
  </r>
  <r>
    <x v="1426"/>
    <n v="445984"/>
    <x v="1"/>
    <s v="  "/>
    <n v="148"/>
    <s v="קרית גת, כרמי גת"/>
    <x v="21"/>
    <d v="2014-05-04T00:00:00"/>
    <x v="2"/>
    <n v="5"/>
    <s v="ים/388/2013"/>
    <x v="1"/>
    <n v="1"/>
    <m/>
    <n v="180180"/>
  </r>
  <r>
    <x v="1427"/>
    <n v="411506"/>
    <x v="1"/>
    <s v="  "/>
    <s v="B374 "/>
    <s v="קרית גת, כרמי גת"/>
    <x v="21"/>
    <d v="2016-12-18T00:00:00"/>
    <x v="1"/>
    <n v="12"/>
    <s v="ים/95/2016"/>
    <x v="1"/>
    <n v="1"/>
    <m/>
    <n v="180456"/>
  </r>
  <r>
    <x v="1428"/>
    <n v="518339"/>
    <x v="1"/>
    <s v="  "/>
    <n v="181"/>
    <s v="קרית גת, כרמי גת"/>
    <x v="21"/>
    <d v="2016-12-18T00:00:00"/>
    <x v="1"/>
    <n v="12"/>
    <s v="ים/95/2016"/>
    <x v="1"/>
    <n v="1"/>
    <m/>
    <n v="180771"/>
  </r>
  <r>
    <x v="1429"/>
    <n v="417342"/>
    <x v="1"/>
    <s v="  "/>
    <s v="B364 "/>
    <s v="קרית גת, כרמי גת"/>
    <x v="21"/>
    <d v="2016-12-18T00:00:00"/>
    <x v="1"/>
    <n v="12"/>
    <s v="ים/95/2016"/>
    <x v="1"/>
    <n v="1"/>
    <m/>
    <n v="181325"/>
  </r>
  <r>
    <x v="875"/>
    <n v="467857"/>
    <x v="1"/>
    <s v="  "/>
    <s v="A178 "/>
    <s v="קרית גת, כרמי גת"/>
    <x v="21"/>
    <d v="2015-06-14T00:00:00"/>
    <x v="3"/>
    <n v="6"/>
    <s v="ים/364/2014"/>
    <x v="1"/>
    <n v="1"/>
    <m/>
    <n v="181818"/>
  </r>
  <r>
    <x v="1430"/>
    <n v="375079"/>
    <x v="1"/>
    <s v="  "/>
    <s v="A189 "/>
    <s v="קרית גת, כרמי גת"/>
    <x v="21"/>
    <d v="2015-06-14T00:00:00"/>
    <x v="3"/>
    <n v="6"/>
    <s v="ים/364/2014"/>
    <x v="1"/>
    <n v="1"/>
    <m/>
    <n v="181819"/>
  </r>
  <r>
    <x v="876"/>
    <n v="321858"/>
    <x v="1"/>
    <s v="  "/>
    <n v="37"/>
    <s v="קרית גת, כרמי גת"/>
    <x v="21"/>
    <d v="2014-12-14T00:00:00"/>
    <x v="2"/>
    <n v="12"/>
    <s v="ים/161/2014"/>
    <x v="1"/>
    <n v="1"/>
    <m/>
    <n v="182000"/>
  </r>
  <r>
    <x v="1431"/>
    <n v="321858"/>
    <x v="1"/>
    <s v="  "/>
    <n v="12"/>
    <s v="קרית גת, כרמי גת"/>
    <x v="21"/>
    <d v="2014-12-14T00:00:00"/>
    <x v="2"/>
    <n v="12"/>
    <s v="ים/161/2014"/>
    <x v="1"/>
    <n v="1"/>
    <m/>
    <n v="183142"/>
  </r>
  <r>
    <x v="1432"/>
    <n v="394611"/>
    <x v="1"/>
    <s v="  "/>
    <s v="B168 "/>
    <s v="קרית גת, כרמי גת"/>
    <x v="21"/>
    <d v="2015-06-14T00:00:00"/>
    <x v="3"/>
    <n v="6"/>
    <s v="ים/364/2014"/>
    <x v="1"/>
    <n v="1"/>
    <m/>
    <n v="184000"/>
  </r>
  <r>
    <x v="1433"/>
    <n v="422689"/>
    <x v="1"/>
    <s v="  "/>
    <s v="A105 "/>
    <s v="קרית גת, כרמי גת"/>
    <x v="21"/>
    <d v="2015-06-14T00:00:00"/>
    <x v="3"/>
    <n v="6"/>
    <s v="ים/364/2014"/>
    <x v="1"/>
    <n v="1"/>
    <m/>
    <n v="185000"/>
  </r>
  <r>
    <x v="1433"/>
    <n v="518339"/>
    <x v="1"/>
    <s v="  "/>
    <n v="503"/>
    <s v="קרית גת, כרמי גת"/>
    <x v="21"/>
    <d v="2016-12-18T00:00:00"/>
    <x v="1"/>
    <n v="12"/>
    <s v="ים/95/2016"/>
    <x v="1"/>
    <n v="1"/>
    <m/>
    <n v="185000"/>
  </r>
  <r>
    <x v="1434"/>
    <n v="491890"/>
    <x v="1"/>
    <s v="  "/>
    <n v="176"/>
    <s v="קרית גת, כרמי גת"/>
    <x v="21"/>
    <d v="2015-06-14T00:00:00"/>
    <x v="3"/>
    <n v="6"/>
    <s v="ים/364/2014"/>
    <x v="1"/>
    <n v="1"/>
    <m/>
    <n v="185520"/>
  </r>
  <r>
    <x v="1435"/>
    <n v="519300"/>
    <x v="1"/>
    <s v="  "/>
    <n v="115"/>
    <s v="קרית גת, כרמי גת"/>
    <x v="21"/>
    <d v="2015-06-14T00:00:00"/>
    <x v="3"/>
    <n v="6"/>
    <s v="ים/364/2014"/>
    <x v="1"/>
    <n v="1"/>
    <m/>
    <n v="185556"/>
  </r>
  <r>
    <x v="883"/>
    <n v="435006"/>
    <x v="1"/>
    <s v="  "/>
    <s v="B354 "/>
    <s v="קרית גת, כרמי גת"/>
    <x v="21"/>
    <d v="2016-12-18T00:00:00"/>
    <x v="1"/>
    <n v="12"/>
    <s v="ים/95/2016"/>
    <x v="1"/>
    <n v="1"/>
    <m/>
    <n v="188000"/>
  </r>
  <r>
    <x v="884"/>
    <n v="321858"/>
    <x v="1"/>
    <s v="  "/>
    <s v="A11 "/>
    <s v="קרית גת, כרמי גת"/>
    <x v="21"/>
    <d v="2014-12-14T00:00:00"/>
    <x v="2"/>
    <n v="12"/>
    <s v="ים/161/2014"/>
    <x v="1"/>
    <n v="1"/>
    <m/>
    <n v="189000"/>
  </r>
  <r>
    <x v="1436"/>
    <n v="321858"/>
    <x v="1"/>
    <s v="  "/>
    <s v="A18 "/>
    <s v="קרית גת, כרמי גת"/>
    <x v="21"/>
    <d v="2014-12-14T00:00:00"/>
    <x v="2"/>
    <n v="12"/>
    <s v="ים/161/2014"/>
    <x v="1"/>
    <n v="1"/>
    <m/>
    <n v="190000"/>
  </r>
  <r>
    <x v="1437"/>
    <n v="761508"/>
    <x v="1"/>
    <s v="  "/>
    <n v="60"/>
    <s v="קרית גת, כרמי גת"/>
    <x v="21"/>
    <d v="2014-05-04T00:00:00"/>
    <x v="2"/>
    <n v="5"/>
    <s v="ים/388/2013"/>
    <x v="1"/>
    <n v="2"/>
    <m/>
    <n v="190002"/>
  </r>
  <r>
    <x v="1438"/>
    <n v="376532"/>
    <x v="1"/>
    <s v="  "/>
    <n v="40"/>
    <s v="קרית גת, כרמי גת"/>
    <x v="21"/>
    <d v="2014-12-14T00:00:00"/>
    <x v="2"/>
    <n v="12"/>
    <s v="ים/161/2014"/>
    <x v="1"/>
    <n v="1"/>
    <m/>
    <n v="190389"/>
  </r>
  <r>
    <x v="1439"/>
    <n v="763885"/>
    <x v="1"/>
    <s v="  "/>
    <n v="49"/>
    <s v="קרית גת, כרמי גת"/>
    <x v="21"/>
    <d v="2014-05-04T00:00:00"/>
    <x v="2"/>
    <n v="5"/>
    <s v="ים/388/2013"/>
    <x v="1"/>
    <n v="2"/>
    <m/>
    <n v="190602"/>
  </r>
  <r>
    <x v="1440"/>
    <n v="328047"/>
    <x v="1"/>
    <s v="  "/>
    <s v="A34 "/>
    <s v="קרית גת, כרמי גת"/>
    <x v="21"/>
    <d v="2014-12-14T00:00:00"/>
    <x v="2"/>
    <n v="12"/>
    <s v="ים/161/2014"/>
    <x v="1"/>
    <n v="1"/>
    <m/>
    <n v="190858"/>
  </r>
  <r>
    <x v="1441"/>
    <n v="321858"/>
    <x v="1"/>
    <s v="  "/>
    <s v="A31 "/>
    <s v="קרית גת, כרמי גת"/>
    <x v="21"/>
    <d v="2014-12-14T00:00:00"/>
    <x v="2"/>
    <n v="12"/>
    <s v="ים/161/2014"/>
    <x v="1"/>
    <n v="1"/>
    <m/>
    <n v="191000"/>
  </r>
  <r>
    <x v="1441"/>
    <n v="321858"/>
    <x v="1"/>
    <s v="  "/>
    <n v="31"/>
    <s v="קרית גת, כרמי גת"/>
    <x v="21"/>
    <d v="2014-12-14T00:00:00"/>
    <x v="2"/>
    <n v="12"/>
    <s v="ים/161/2014"/>
    <x v="1"/>
    <n v="1"/>
    <m/>
    <n v="191000"/>
  </r>
  <r>
    <x v="1442"/>
    <n v="450200"/>
    <x v="1"/>
    <s v="  "/>
    <n v="153"/>
    <s v="קרית גת, כרמי גת"/>
    <x v="21"/>
    <d v="2014-05-04T00:00:00"/>
    <x v="2"/>
    <n v="5"/>
    <s v="ים/388/2013"/>
    <x v="1"/>
    <n v="1"/>
    <m/>
    <n v="191273"/>
  </r>
  <r>
    <x v="1443"/>
    <n v="430306"/>
    <x v="1"/>
    <s v="  "/>
    <s v="B262 "/>
    <s v="קרית גת, כרמי גת"/>
    <x v="21"/>
    <d v="2016-12-18T00:00:00"/>
    <x v="1"/>
    <n v="12"/>
    <s v="ים/95/2016"/>
    <x v="1"/>
    <n v="1"/>
    <m/>
    <n v="192526"/>
  </r>
  <r>
    <x v="1444"/>
    <n v="372638"/>
    <x v="1"/>
    <s v="  "/>
    <s v="A142 "/>
    <s v="קרית גת, כרמי גת"/>
    <x v="21"/>
    <d v="2015-06-14T00:00:00"/>
    <x v="3"/>
    <n v="6"/>
    <s v="ים/364/2014"/>
    <x v="1"/>
    <n v="1"/>
    <m/>
    <n v="192678"/>
  </r>
  <r>
    <x v="1445"/>
    <n v="431242"/>
    <x v="1"/>
    <s v="  "/>
    <s v="B534 "/>
    <s v="קרית גת, כרמי גת"/>
    <x v="21"/>
    <d v="2016-12-18T00:00:00"/>
    <x v="1"/>
    <n v="12"/>
    <s v="ים/95/2016"/>
    <x v="1"/>
    <n v="1"/>
    <m/>
    <n v="193000"/>
  </r>
  <r>
    <x v="1446"/>
    <n v="360430"/>
    <x v="1"/>
    <s v="  "/>
    <s v="A140 "/>
    <s v="קרית גת, כרמי גת"/>
    <x v="21"/>
    <d v="2015-06-14T00:00:00"/>
    <x v="3"/>
    <n v="6"/>
    <s v="ים/364/2014"/>
    <x v="1"/>
    <n v="1"/>
    <m/>
    <n v="196446"/>
  </r>
  <r>
    <x v="1447"/>
    <n v="430306"/>
    <x v="1"/>
    <s v="  "/>
    <s v="A262 "/>
    <s v="קרית גת, כרמי גת"/>
    <x v="21"/>
    <d v="2016-12-18T00:00:00"/>
    <x v="1"/>
    <n v="12"/>
    <s v="ים/95/2016"/>
    <x v="1"/>
    <n v="1"/>
    <m/>
    <n v="198000"/>
  </r>
  <r>
    <x v="895"/>
    <n v="317731"/>
    <x v="1"/>
    <s v="  "/>
    <n v="17"/>
    <s v="קרית גת, כרמי גת"/>
    <x v="21"/>
    <d v="2014-12-14T00:00:00"/>
    <x v="2"/>
    <n v="12"/>
    <s v="ים/161/2014"/>
    <x v="1"/>
    <n v="1"/>
    <m/>
    <n v="200000"/>
  </r>
  <r>
    <x v="895"/>
    <n v="395832"/>
    <x v="1"/>
    <s v="  "/>
    <s v="A159 "/>
    <s v="קרית גת, כרמי גת"/>
    <x v="21"/>
    <d v="2015-06-14T00:00:00"/>
    <x v="3"/>
    <n v="6"/>
    <s v="ים/364/2014"/>
    <x v="1"/>
    <n v="1"/>
    <m/>
    <n v="200000"/>
  </r>
  <r>
    <x v="895"/>
    <n v="400264"/>
    <x v="1"/>
    <s v="  "/>
    <n v="41"/>
    <s v="קרית גת, כרמי גת"/>
    <x v="21"/>
    <d v="2014-05-04T00:00:00"/>
    <x v="2"/>
    <n v="5"/>
    <s v="ים/388/2013"/>
    <x v="1"/>
    <n v="1"/>
    <m/>
    <n v="200000"/>
  </r>
  <r>
    <x v="1448"/>
    <n v="375079"/>
    <x v="1"/>
    <s v="  "/>
    <s v="A184 "/>
    <s v="קרית גת, כרמי גת"/>
    <x v="21"/>
    <d v="2015-06-14T00:00:00"/>
    <x v="3"/>
    <n v="6"/>
    <s v="ים/364/2014"/>
    <x v="1"/>
    <n v="1"/>
    <m/>
    <n v="200002"/>
  </r>
  <r>
    <x v="1449"/>
    <n v="416411"/>
    <x v="1"/>
    <s v="  "/>
    <s v="A271 "/>
    <s v="קרית גת, כרמי גת"/>
    <x v="21"/>
    <d v="2016-12-18T00:00:00"/>
    <x v="1"/>
    <n v="12"/>
    <s v="ים/95/2016"/>
    <x v="1"/>
    <n v="1"/>
    <m/>
    <n v="200501"/>
  </r>
  <r>
    <x v="1450"/>
    <n v="518440"/>
    <x v="1"/>
    <s v="  "/>
    <n v="184"/>
    <s v="קרית גת, כרמי גת"/>
    <x v="21"/>
    <d v="2016-12-18T00:00:00"/>
    <x v="1"/>
    <n v="12"/>
    <s v="ים/95/2016"/>
    <x v="1"/>
    <n v="1"/>
    <m/>
    <n v="201234"/>
  </r>
  <r>
    <x v="1451"/>
    <n v="720480"/>
    <x v="1"/>
    <s v="  "/>
    <s v="A104 "/>
    <s v="קרית גת, כרמי גת"/>
    <x v="21"/>
    <d v="2016-05-08T00:00:00"/>
    <x v="1"/>
    <n v="5"/>
    <s v="ים/20/2016"/>
    <x v="1"/>
    <n v="1"/>
    <m/>
    <n v="201300"/>
  </r>
  <r>
    <x v="1452"/>
    <n v="433582"/>
    <x v="1"/>
    <s v="  "/>
    <s v="B273 "/>
    <s v="קרית גת, כרמי גת"/>
    <x v="21"/>
    <d v="2016-12-18T00:00:00"/>
    <x v="1"/>
    <n v="12"/>
    <s v="ים/95/2016"/>
    <x v="1"/>
    <n v="1"/>
    <m/>
    <n v="201721"/>
  </r>
  <r>
    <x v="1453"/>
    <n v="440580"/>
    <x v="1"/>
    <s v="  "/>
    <n v="63"/>
    <s v="קרית גת, כרמי גת"/>
    <x v="21"/>
    <d v="2014-05-04T00:00:00"/>
    <x v="2"/>
    <n v="5"/>
    <s v="ים/388/2013"/>
    <x v="1"/>
    <n v="1"/>
    <m/>
    <n v="201770"/>
  </r>
  <r>
    <x v="1454"/>
    <n v="512915"/>
    <x v="1"/>
    <s v="  "/>
    <n v="543"/>
    <s v="קרית גת, כרמי גת"/>
    <x v="21"/>
    <d v="2016-12-18T00:00:00"/>
    <x v="1"/>
    <n v="12"/>
    <s v="ים/95/2016"/>
    <x v="1"/>
    <n v="1"/>
    <m/>
    <n v="202000"/>
  </r>
  <r>
    <x v="1454"/>
    <n v="620600"/>
    <x v="1"/>
    <s v="  "/>
    <n v="129"/>
    <s v="קרית גת, כרמי גת"/>
    <x v="21"/>
    <d v="2015-06-14T00:00:00"/>
    <x v="3"/>
    <n v="6"/>
    <s v="ים/364/2014"/>
    <x v="1"/>
    <n v="1"/>
    <m/>
    <n v="202000"/>
  </r>
  <r>
    <x v="1455"/>
    <n v="435006"/>
    <x v="1"/>
    <s v="  "/>
    <s v="B353 "/>
    <s v="קרית גת, כרמי גת"/>
    <x v="21"/>
    <d v="2016-12-18T00:00:00"/>
    <x v="1"/>
    <n v="12"/>
    <s v="ים/95/2016"/>
    <x v="1"/>
    <n v="1"/>
    <m/>
    <n v="202001"/>
  </r>
  <r>
    <x v="1456"/>
    <n v="518440"/>
    <x v="1"/>
    <s v="  "/>
    <n v="505"/>
    <s v="קרית גת, כרמי גת"/>
    <x v="21"/>
    <d v="2016-12-18T00:00:00"/>
    <x v="1"/>
    <n v="12"/>
    <s v="ים/95/2016"/>
    <x v="1"/>
    <n v="1"/>
    <m/>
    <n v="202202"/>
  </r>
  <r>
    <x v="1457"/>
    <n v="442958"/>
    <x v="1"/>
    <s v="  "/>
    <n v="131"/>
    <s v="קרית גת, כרמי גת"/>
    <x v="21"/>
    <d v="2014-05-04T00:00:00"/>
    <x v="2"/>
    <n v="5"/>
    <s v="ים/388/2013"/>
    <x v="1"/>
    <n v="1"/>
    <m/>
    <n v="203000"/>
  </r>
  <r>
    <x v="904"/>
    <n v="450200"/>
    <x v="1"/>
    <s v="  "/>
    <n v="154"/>
    <s v="קרית גת, כרמי גת"/>
    <x v="21"/>
    <d v="2014-05-04T00:00:00"/>
    <x v="2"/>
    <n v="5"/>
    <s v="ים/388/2013"/>
    <x v="1"/>
    <n v="1"/>
    <m/>
    <n v="205000"/>
  </r>
  <r>
    <x v="1458"/>
    <n v="431242"/>
    <x v="1"/>
    <s v="  "/>
    <s v="A535 "/>
    <s v="קרית גת, כרמי גת"/>
    <x v="21"/>
    <d v="2016-12-18T00:00:00"/>
    <x v="1"/>
    <n v="12"/>
    <s v="ים/95/2016"/>
    <x v="1"/>
    <n v="1"/>
    <m/>
    <n v="206667"/>
  </r>
  <r>
    <x v="1459"/>
    <n v="831223"/>
    <x v="1"/>
    <s v="  "/>
    <n v="33"/>
    <s v="קרית גת, כרמי גת"/>
    <x v="21"/>
    <d v="2014-05-04T00:00:00"/>
    <x v="2"/>
    <n v="5"/>
    <s v="ים/388/2013"/>
    <x v="1"/>
    <n v="2"/>
    <m/>
    <n v="207500"/>
  </r>
  <r>
    <x v="1460"/>
    <n v="622825"/>
    <x v="1"/>
    <s v="  "/>
    <s v="A114 "/>
    <s v="קרית גת, כרמי גת"/>
    <x v="21"/>
    <d v="2016-05-08T00:00:00"/>
    <x v="1"/>
    <n v="5"/>
    <s v="ים/20/2016"/>
    <x v="1"/>
    <n v="1"/>
    <m/>
    <n v="207600"/>
  </r>
  <r>
    <x v="1461"/>
    <n v="539819"/>
    <x v="1"/>
    <s v="  "/>
    <s v="A137 "/>
    <s v="קרית גת, כרמי גת"/>
    <x v="21"/>
    <d v="2016-05-08T00:00:00"/>
    <x v="1"/>
    <n v="5"/>
    <s v="ים/20/2016"/>
    <x v="1"/>
    <n v="1"/>
    <m/>
    <n v="207777"/>
  </r>
  <r>
    <x v="1461"/>
    <n v="796960"/>
    <x v="1"/>
    <s v="  "/>
    <n v="28"/>
    <s v="קרית גת, כרמי גת"/>
    <x v="21"/>
    <d v="2014-05-04T00:00:00"/>
    <x v="2"/>
    <n v="5"/>
    <s v="ים/388/2013"/>
    <x v="1"/>
    <n v="2"/>
    <m/>
    <n v="207777"/>
  </r>
  <r>
    <x v="1462"/>
    <n v="518440"/>
    <x v="1"/>
    <s v="  "/>
    <n v="506"/>
    <s v="קרית גת, כרמי גת"/>
    <x v="21"/>
    <d v="2016-12-18T00:00:00"/>
    <x v="1"/>
    <n v="12"/>
    <s v="ים/95/2016"/>
    <x v="1"/>
    <n v="1"/>
    <m/>
    <n v="208421"/>
  </r>
  <r>
    <x v="1463"/>
    <n v="435211"/>
    <x v="1"/>
    <s v="  "/>
    <s v="A354 "/>
    <s v="קרית גת, כרמי גת"/>
    <x v="21"/>
    <d v="2016-12-18T00:00:00"/>
    <x v="1"/>
    <n v="12"/>
    <s v="ים/95/2016"/>
    <x v="1"/>
    <n v="1"/>
    <m/>
    <n v="209500"/>
  </r>
  <r>
    <x v="1464"/>
    <n v="481226"/>
    <x v="1"/>
    <s v="  "/>
    <s v="B149 "/>
    <s v="קרית גת, כרמי גת"/>
    <x v="21"/>
    <d v="2016-05-08T00:00:00"/>
    <x v="1"/>
    <n v="5"/>
    <s v="ים/20/2016"/>
    <x v="1"/>
    <n v="1"/>
    <m/>
    <n v="210018"/>
  </r>
  <r>
    <x v="1465"/>
    <n v="212211"/>
    <x v="3"/>
    <s v="  "/>
    <s v="2 ב "/>
    <s v="קרית גת, אזור תעשיה"/>
    <x v="21"/>
    <d v="2013-01-02T00:00:00"/>
    <x v="4"/>
    <n v="1"/>
    <s v="ים/255/2012"/>
    <x v="2"/>
    <m/>
    <n v="1000"/>
    <n v="210820"/>
  </r>
  <r>
    <x v="1466"/>
    <n v="431242"/>
    <x v="1"/>
    <s v="  "/>
    <s v="A534 "/>
    <s v="קרית גת, כרמי גת"/>
    <x v="21"/>
    <d v="2016-12-18T00:00:00"/>
    <x v="1"/>
    <n v="12"/>
    <s v="ים/95/2016"/>
    <x v="1"/>
    <n v="1"/>
    <m/>
    <n v="212000"/>
  </r>
  <r>
    <x v="1467"/>
    <n v="831223"/>
    <x v="1"/>
    <s v="  "/>
    <n v="32"/>
    <s v="קרית גת, כרמי גת"/>
    <x v="21"/>
    <d v="2014-05-04T00:00:00"/>
    <x v="2"/>
    <n v="5"/>
    <s v="ים/388/2013"/>
    <x v="1"/>
    <n v="2"/>
    <m/>
    <n v="213000"/>
  </r>
  <r>
    <x v="1468"/>
    <n v="423910"/>
    <x v="1"/>
    <s v="  "/>
    <s v="B125 "/>
    <s v="קרית גת, כרמי גת"/>
    <x v="21"/>
    <d v="2015-06-14T00:00:00"/>
    <x v="3"/>
    <n v="6"/>
    <s v="ים/364/2014"/>
    <x v="1"/>
    <n v="1"/>
    <m/>
    <n v="213234"/>
  </r>
  <r>
    <x v="1469"/>
    <n v="445411"/>
    <x v="1"/>
    <s v="  "/>
    <n v="143"/>
    <s v="קרית גת, כרמי גת"/>
    <x v="21"/>
    <d v="2015-06-14T00:00:00"/>
    <x v="3"/>
    <n v="6"/>
    <s v="ים/364/2014"/>
    <x v="1"/>
    <n v="1"/>
    <m/>
    <n v="214887"/>
  </r>
  <r>
    <x v="1470"/>
    <n v="445984"/>
    <x v="1"/>
    <s v="  "/>
    <n v="146"/>
    <s v="קרית גת, כרמי גת"/>
    <x v="21"/>
    <d v="2014-05-04T00:00:00"/>
    <x v="2"/>
    <n v="5"/>
    <s v="ים/388/2013"/>
    <x v="1"/>
    <n v="1"/>
    <m/>
    <n v="215491"/>
  </r>
  <r>
    <x v="1471"/>
    <n v="389728"/>
    <x v="1"/>
    <s v="  "/>
    <s v="A150 "/>
    <s v="קרית גת, כרמי גת"/>
    <x v="21"/>
    <d v="2015-06-14T00:00:00"/>
    <x v="3"/>
    <n v="6"/>
    <s v="ים/364/2014"/>
    <x v="1"/>
    <n v="1"/>
    <m/>
    <n v="215500"/>
  </r>
  <r>
    <x v="1472"/>
    <n v="331132"/>
    <x v="1"/>
    <s v="  "/>
    <s v="B193 "/>
    <s v="קרית גת, כרמי גת"/>
    <x v="21"/>
    <d v="2015-06-14T00:00:00"/>
    <x v="3"/>
    <n v="6"/>
    <s v="ים/364/2014"/>
    <x v="1"/>
    <n v="1"/>
    <m/>
    <n v="216234"/>
  </r>
  <r>
    <x v="1473"/>
    <n v="518339"/>
    <x v="1"/>
    <s v="  "/>
    <n v="282"/>
    <s v="קרית גת, כרמי גת"/>
    <x v="21"/>
    <d v="2016-12-18T00:00:00"/>
    <x v="1"/>
    <n v="12"/>
    <s v="ים/95/2016"/>
    <x v="1"/>
    <n v="1"/>
    <m/>
    <n v="218000"/>
  </r>
  <r>
    <x v="1474"/>
    <n v="442958"/>
    <x v="1"/>
    <s v="  "/>
    <n v="130"/>
    <s v="קרית גת, כרמי גת"/>
    <x v="21"/>
    <d v="2014-05-04T00:00:00"/>
    <x v="2"/>
    <n v="5"/>
    <s v="ים/388/2013"/>
    <x v="1"/>
    <n v="1"/>
    <m/>
    <n v="219000"/>
  </r>
  <r>
    <x v="1475"/>
    <n v="518440"/>
    <x v="1"/>
    <s v="  "/>
    <n v="502"/>
    <s v="קרית גת, כרמי גת"/>
    <x v="21"/>
    <d v="2016-12-18T00:00:00"/>
    <x v="1"/>
    <n v="12"/>
    <s v="ים/95/2016"/>
    <x v="1"/>
    <n v="1"/>
    <m/>
    <n v="219181"/>
  </r>
  <r>
    <x v="1476"/>
    <n v="763885"/>
    <x v="1"/>
    <s v="  "/>
    <n v="48"/>
    <s v="קרית גת, כרמי גת"/>
    <x v="21"/>
    <d v="2014-05-04T00:00:00"/>
    <x v="2"/>
    <n v="5"/>
    <s v="ים/388/2013"/>
    <x v="1"/>
    <n v="2"/>
    <m/>
    <n v="219284"/>
  </r>
  <r>
    <x v="1477"/>
    <n v="518440"/>
    <x v="1"/>
    <s v="  "/>
    <n v="288"/>
    <s v="קרית גת, כרמי גת"/>
    <x v="21"/>
    <d v="2016-12-18T00:00:00"/>
    <x v="1"/>
    <n v="12"/>
    <s v="ים/95/2016"/>
    <x v="1"/>
    <n v="1"/>
    <m/>
    <n v="220380"/>
  </r>
  <r>
    <x v="1478"/>
    <n v="420906"/>
    <x v="1"/>
    <s v="  "/>
    <s v="B352 "/>
    <s v="קרית גת, כרמי גת"/>
    <x v="21"/>
    <d v="2016-12-18T00:00:00"/>
    <x v="1"/>
    <n v="12"/>
    <s v="ים/95/2016"/>
    <x v="1"/>
    <n v="1"/>
    <m/>
    <n v="220770"/>
  </r>
  <r>
    <x v="1479"/>
    <n v="518339"/>
    <x v="1"/>
    <s v="  "/>
    <n v="291"/>
    <s v="קרית גת, כרמי גת"/>
    <x v="21"/>
    <d v="2016-12-18T00:00:00"/>
    <x v="1"/>
    <n v="12"/>
    <s v="ים/95/2016"/>
    <x v="1"/>
    <n v="1"/>
    <m/>
    <n v="221000"/>
  </r>
  <r>
    <x v="1480"/>
    <n v="447173"/>
    <x v="1"/>
    <s v="  "/>
    <n v="138"/>
    <s v="קרית גת, כרמי גת"/>
    <x v="21"/>
    <d v="2014-05-04T00:00:00"/>
    <x v="2"/>
    <n v="5"/>
    <s v="ים/388/2013"/>
    <x v="1"/>
    <n v="1"/>
    <m/>
    <n v="222845"/>
  </r>
  <r>
    <x v="1481"/>
    <n v="478655"/>
    <x v="1"/>
    <s v="  "/>
    <n v="538"/>
    <s v="קרית גת, כרמי גת"/>
    <x v="21"/>
    <d v="2016-12-18T00:00:00"/>
    <x v="1"/>
    <n v="12"/>
    <s v="ים/95/2016"/>
    <x v="1"/>
    <n v="1"/>
    <m/>
    <n v="223200"/>
  </r>
  <r>
    <x v="1482"/>
    <n v="538724"/>
    <x v="1"/>
    <s v="  "/>
    <n v="523"/>
    <s v="קרית גת, כרמי גת"/>
    <x v="21"/>
    <d v="2016-12-18T00:00:00"/>
    <x v="1"/>
    <n v="12"/>
    <s v="ים/95/2016"/>
    <x v="1"/>
    <n v="1"/>
    <m/>
    <n v="224500"/>
  </r>
  <r>
    <x v="1483"/>
    <n v="518440"/>
    <x v="1"/>
    <s v="  "/>
    <n v="512"/>
    <s v="קרית גת, כרמי גת"/>
    <x v="21"/>
    <d v="2016-12-18T00:00:00"/>
    <x v="1"/>
    <n v="12"/>
    <s v="ים/95/2016"/>
    <x v="1"/>
    <n v="1"/>
    <m/>
    <n v="225520"/>
  </r>
  <r>
    <x v="1484"/>
    <n v="526651"/>
    <x v="1"/>
    <s v="  "/>
    <n v="501"/>
    <s v="קרית גת, כרמי גת"/>
    <x v="21"/>
    <d v="2016-12-18T00:00:00"/>
    <x v="1"/>
    <n v="12"/>
    <s v="ים/95/2016"/>
    <x v="1"/>
    <n v="1"/>
    <m/>
    <n v="228200"/>
  </r>
  <r>
    <x v="1485"/>
    <n v="421111"/>
    <x v="1"/>
    <s v="  "/>
    <s v="A352 "/>
    <s v="קרית גת, כרמי גת"/>
    <x v="21"/>
    <d v="2016-12-18T00:00:00"/>
    <x v="1"/>
    <n v="12"/>
    <s v="ים/95/2016"/>
    <x v="1"/>
    <n v="1"/>
    <m/>
    <n v="230000"/>
  </r>
  <r>
    <x v="1485"/>
    <n v="796960"/>
    <x v="1"/>
    <s v="  "/>
    <n v="30"/>
    <s v="קרית גת, כרמי גת"/>
    <x v="21"/>
    <d v="2014-05-04T00:00:00"/>
    <x v="2"/>
    <n v="5"/>
    <s v="ים/388/2013"/>
    <x v="1"/>
    <n v="2"/>
    <m/>
    <n v="230000"/>
  </r>
  <r>
    <x v="1486"/>
    <n v="435211"/>
    <x v="1"/>
    <s v="  "/>
    <s v="A353 "/>
    <s v="קרית גת, כרמי גת"/>
    <x v="21"/>
    <d v="2016-12-18T00:00:00"/>
    <x v="1"/>
    <n v="12"/>
    <s v="ים/95/2016"/>
    <x v="1"/>
    <n v="1"/>
    <m/>
    <n v="230500"/>
  </r>
  <r>
    <x v="1487"/>
    <n v="426351"/>
    <x v="1"/>
    <s v="  "/>
    <s v="A108 "/>
    <s v="קרית גת, כרמי גת"/>
    <x v="21"/>
    <d v="2015-06-14T00:00:00"/>
    <x v="3"/>
    <n v="6"/>
    <s v="ים/364/2014"/>
    <x v="1"/>
    <n v="1"/>
    <m/>
    <n v="231900"/>
  </r>
  <r>
    <x v="1488"/>
    <n v="513323"/>
    <x v="1"/>
    <s v="  "/>
    <n v="396"/>
    <s v="קרית גת, כרמי גת"/>
    <x v="21"/>
    <d v="2016-12-18T00:00:00"/>
    <x v="1"/>
    <n v="12"/>
    <s v="ים/95/2016"/>
    <x v="1"/>
    <n v="1"/>
    <m/>
    <n v="232000"/>
  </r>
  <r>
    <x v="1489"/>
    <n v="493082"/>
    <x v="1"/>
    <s v="  "/>
    <n v="144"/>
    <s v="קרית גת, כרמי גת"/>
    <x v="21"/>
    <d v="2015-06-14T00:00:00"/>
    <x v="3"/>
    <n v="6"/>
    <s v="ים/364/2014"/>
    <x v="1"/>
    <n v="1"/>
    <m/>
    <n v="232600"/>
  </r>
  <r>
    <x v="1490"/>
    <n v="518339"/>
    <x v="1"/>
    <s v="  "/>
    <n v="293"/>
    <s v="קרית גת, כרמי גת"/>
    <x v="21"/>
    <d v="2016-12-18T00:00:00"/>
    <x v="1"/>
    <n v="12"/>
    <s v="ים/95/2016"/>
    <x v="1"/>
    <n v="1"/>
    <m/>
    <n v="233510"/>
  </r>
  <r>
    <x v="1491"/>
    <n v="442958"/>
    <x v="1"/>
    <s v="  "/>
    <n v="133"/>
    <s v="קרית גת, כרמי גת"/>
    <x v="21"/>
    <d v="2014-05-04T00:00:00"/>
    <x v="2"/>
    <n v="5"/>
    <s v="ים/388/2013"/>
    <x v="1"/>
    <n v="1"/>
    <m/>
    <n v="235000"/>
  </r>
  <r>
    <x v="1492"/>
    <n v="321858"/>
    <x v="1"/>
    <s v="  "/>
    <n v="11"/>
    <s v="קרית גת, כרמי גת"/>
    <x v="21"/>
    <d v="2014-12-14T00:00:00"/>
    <x v="2"/>
    <n v="12"/>
    <s v="ים/161/2014"/>
    <x v="1"/>
    <n v="1"/>
    <m/>
    <n v="235500"/>
  </r>
  <r>
    <x v="1493"/>
    <n v="518440"/>
    <x v="1"/>
    <s v="  "/>
    <n v="284"/>
    <s v="קרית גת, כרמי גת"/>
    <x v="21"/>
    <d v="2016-12-18T00:00:00"/>
    <x v="1"/>
    <n v="12"/>
    <s v="ים/95/2016"/>
    <x v="1"/>
    <n v="1"/>
    <m/>
    <n v="235550"/>
  </r>
  <r>
    <x v="1494"/>
    <n v="518339"/>
    <x v="1"/>
    <s v="  "/>
    <n v="195"/>
    <s v="קרית גת, כרמי גת"/>
    <x v="21"/>
    <d v="2016-12-18T00:00:00"/>
    <x v="1"/>
    <n v="12"/>
    <s v="ים/95/2016"/>
    <x v="1"/>
    <n v="1"/>
    <m/>
    <n v="235555"/>
  </r>
  <r>
    <x v="1494"/>
    <n v="638476"/>
    <x v="1"/>
    <s v="  "/>
    <n v="155"/>
    <s v="קרית גת, כרמי גת"/>
    <x v="21"/>
    <d v="2015-06-14T00:00:00"/>
    <x v="3"/>
    <n v="6"/>
    <s v="ים/364/2014"/>
    <x v="1"/>
    <n v="1"/>
    <m/>
    <n v="235555"/>
  </r>
  <r>
    <x v="928"/>
    <n v="513829"/>
    <x v="1"/>
    <s v="  "/>
    <n v="545"/>
    <s v="קרית גת, כרמי גת"/>
    <x v="21"/>
    <d v="2016-12-18T00:00:00"/>
    <x v="1"/>
    <n v="12"/>
    <s v="ים/95/2016"/>
    <x v="1"/>
    <n v="1"/>
    <m/>
    <n v="236000"/>
  </r>
  <r>
    <x v="1495"/>
    <n v="761508"/>
    <x v="1"/>
    <s v="  "/>
    <n v="58"/>
    <s v="קרית גת, כרמי גת"/>
    <x v="21"/>
    <d v="2014-05-04T00:00:00"/>
    <x v="2"/>
    <n v="5"/>
    <s v="ים/388/2013"/>
    <x v="1"/>
    <n v="2"/>
    <m/>
    <n v="236011"/>
  </r>
  <r>
    <x v="1496"/>
    <n v="518440"/>
    <x v="1"/>
    <s v="  "/>
    <n v="287"/>
    <s v="קרית גת, כרמי גת"/>
    <x v="21"/>
    <d v="2016-12-18T00:00:00"/>
    <x v="1"/>
    <n v="12"/>
    <s v="ים/95/2016"/>
    <x v="1"/>
    <n v="1"/>
    <m/>
    <n v="236222"/>
  </r>
  <r>
    <x v="1497"/>
    <n v="321858"/>
    <x v="1"/>
    <s v="  "/>
    <s v="A37 "/>
    <s v="קרית גת, כרמי גת"/>
    <x v="21"/>
    <d v="2014-12-14T00:00:00"/>
    <x v="2"/>
    <n v="12"/>
    <s v="ים/161/2014"/>
    <x v="1"/>
    <n v="1"/>
    <m/>
    <n v="237000"/>
  </r>
  <r>
    <x v="1497"/>
    <n v="387233"/>
    <x v="1"/>
    <s v="  "/>
    <s v="B173 "/>
    <s v="קרית גת, כרמי גת"/>
    <x v="21"/>
    <d v="2016-05-08T00:00:00"/>
    <x v="1"/>
    <n v="5"/>
    <s v="ים/20/2016"/>
    <x v="1"/>
    <n v="1"/>
    <m/>
    <n v="237000"/>
  </r>
  <r>
    <x v="1498"/>
    <n v="518339"/>
    <x v="1"/>
    <s v="  "/>
    <n v="285"/>
    <s v="קרית גת, כרמי גת"/>
    <x v="21"/>
    <d v="2016-12-18T00:00:00"/>
    <x v="1"/>
    <n v="12"/>
    <s v="ים/95/2016"/>
    <x v="1"/>
    <n v="1"/>
    <m/>
    <n v="237107"/>
  </r>
  <r>
    <x v="1499"/>
    <n v="518440"/>
    <x v="1"/>
    <s v="  "/>
    <n v="292"/>
    <s v="קרית גת, כרמי גת"/>
    <x v="21"/>
    <d v="2016-12-18T00:00:00"/>
    <x v="1"/>
    <n v="12"/>
    <s v="ים/95/2016"/>
    <x v="1"/>
    <n v="1"/>
    <m/>
    <n v="238888"/>
  </r>
  <r>
    <x v="1500"/>
    <n v="518440"/>
    <x v="1"/>
    <s v="  "/>
    <n v="182"/>
    <s v="קרית גת, כרמי גת"/>
    <x v="21"/>
    <d v="2016-12-18T00:00:00"/>
    <x v="1"/>
    <n v="12"/>
    <s v="ים/95/2016"/>
    <x v="1"/>
    <n v="1"/>
    <m/>
    <n v="239300"/>
  </r>
  <r>
    <x v="1501"/>
    <n v="420201"/>
    <x v="1"/>
    <s v="  "/>
    <n v="4"/>
    <s v="קרית גת, כרמי גת"/>
    <x v="21"/>
    <d v="2014-12-14T00:00:00"/>
    <x v="2"/>
    <n v="12"/>
    <s v="ים/161/2014"/>
    <x v="1"/>
    <n v="1"/>
    <m/>
    <n v="239950"/>
  </r>
  <r>
    <x v="1502"/>
    <n v="472822"/>
    <x v="1"/>
    <s v="  "/>
    <n v="117"/>
    <s v="קרית גת, כרמי גת"/>
    <x v="21"/>
    <d v="2015-06-14T00:00:00"/>
    <x v="3"/>
    <n v="6"/>
    <s v="ים/364/2014"/>
    <x v="1"/>
    <n v="1"/>
    <m/>
    <n v="240000"/>
  </r>
  <r>
    <x v="1503"/>
    <n v="500923"/>
    <x v="1"/>
    <s v="  "/>
    <n v="398"/>
    <s v="קרית גת, כרמי גת"/>
    <x v="21"/>
    <d v="2016-12-18T00:00:00"/>
    <x v="1"/>
    <n v="12"/>
    <s v="ים/95/2016"/>
    <x v="1"/>
    <n v="1"/>
    <m/>
    <n v="240240"/>
  </r>
  <r>
    <x v="1504"/>
    <n v="430306"/>
    <x v="1"/>
    <s v="  "/>
    <s v="B263 "/>
    <s v="קרית גת, כרמי גת"/>
    <x v="21"/>
    <d v="2016-12-18T00:00:00"/>
    <x v="1"/>
    <n v="12"/>
    <s v="ים/95/2016"/>
    <x v="1"/>
    <n v="1"/>
    <m/>
    <n v="240762"/>
  </r>
  <r>
    <x v="1505"/>
    <n v="321858"/>
    <x v="1"/>
    <s v="  "/>
    <s v="A12 "/>
    <s v="קרית גת, כרמי גת"/>
    <x v="21"/>
    <d v="2014-12-14T00:00:00"/>
    <x v="2"/>
    <n v="12"/>
    <s v="ים/161/2014"/>
    <x v="1"/>
    <n v="1"/>
    <m/>
    <n v="241000"/>
  </r>
  <r>
    <x v="1505"/>
    <n v="518339"/>
    <x v="1"/>
    <s v="  "/>
    <n v="183"/>
    <s v="קרית גת, כרמי גת"/>
    <x v="21"/>
    <d v="2016-12-18T00:00:00"/>
    <x v="1"/>
    <n v="12"/>
    <s v="ים/95/2016"/>
    <x v="1"/>
    <n v="1"/>
    <m/>
    <n v="241000"/>
  </r>
  <r>
    <x v="1506"/>
    <n v="518339"/>
    <x v="1"/>
    <s v="  "/>
    <n v="196"/>
    <s v="קרית גת, כרמי גת"/>
    <x v="21"/>
    <d v="2016-12-18T00:00:00"/>
    <x v="1"/>
    <n v="12"/>
    <s v="ים/95/2016"/>
    <x v="1"/>
    <n v="1"/>
    <m/>
    <n v="241001"/>
  </r>
  <r>
    <x v="1507"/>
    <n v="484888"/>
    <x v="1"/>
    <s v="  "/>
    <s v="B174 "/>
    <s v="קרית גת, כרמי גת"/>
    <x v="21"/>
    <d v="2016-05-08T00:00:00"/>
    <x v="1"/>
    <n v="5"/>
    <s v="ים/20/2016"/>
    <x v="1"/>
    <n v="1"/>
    <m/>
    <n v="241415"/>
  </r>
  <r>
    <x v="1508"/>
    <n v="435006"/>
    <x v="1"/>
    <s v="  "/>
    <s v="A273 "/>
    <s v="קרית גת, כרמי גת"/>
    <x v="21"/>
    <d v="2016-12-18T00:00:00"/>
    <x v="1"/>
    <n v="12"/>
    <s v="ים/95/2016"/>
    <x v="1"/>
    <n v="1"/>
    <m/>
    <n v="241550"/>
  </r>
  <r>
    <x v="1509"/>
    <n v="431242"/>
    <x v="1"/>
    <s v="  "/>
    <s v="B537 "/>
    <s v="קרית גת, כרמי גת"/>
    <x v="21"/>
    <d v="2016-12-18T00:00:00"/>
    <x v="1"/>
    <n v="12"/>
    <s v="ים/95/2016"/>
    <x v="1"/>
    <n v="1"/>
    <m/>
    <n v="241900"/>
  </r>
  <r>
    <x v="1510"/>
    <n v="518440"/>
    <x v="1"/>
    <s v="  "/>
    <n v="193"/>
    <s v="קרית גת, כרמי גת"/>
    <x v="21"/>
    <d v="2016-12-18T00:00:00"/>
    <x v="1"/>
    <n v="12"/>
    <s v="ים/95/2016"/>
    <x v="1"/>
    <n v="1"/>
    <m/>
    <n v="242400"/>
  </r>
  <r>
    <x v="1511"/>
    <n v="540752"/>
    <x v="1"/>
    <s v="  "/>
    <n v="116"/>
    <s v="קרית גת, כרמי גת"/>
    <x v="21"/>
    <d v="2015-06-14T00:00:00"/>
    <x v="3"/>
    <n v="6"/>
    <s v="ים/364/2014"/>
    <x v="1"/>
    <n v="1"/>
    <m/>
    <n v="242700"/>
  </r>
  <r>
    <x v="1512"/>
    <n v="431178"/>
    <x v="1"/>
    <s v="  "/>
    <s v="B169 "/>
    <s v="קרית גת, כרמי גת"/>
    <x v="21"/>
    <d v="2016-05-08T00:00:00"/>
    <x v="1"/>
    <n v="5"/>
    <s v="ים/20/2016"/>
    <x v="1"/>
    <n v="1"/>
    <m/>
    <n v="243000"/>
  </r>
  <r>
    <x v="1513"/>
    <n v="420201"/>
    <x v="1"/>
    <s v="  "/>
    <n v="2"/>
    <s v="קרית גת, כרמי גת"/>
    <x v="21"/>
    <d v="2014-12-14T00:00:00"/>
    <x v="2"/>
    <n v="12"/>
    <s v="ים/161/2014"/>
    <x v="1"/>
    <n v="1"/>
    <m/>
    <n v="243792"/>
  </r>
  <r>
    <x v="936"/>
    <n v="411506"/>
    <x v="1"/>
    <s v="  "/>
    <s v="A374 "/>
    <s v="קרית גת, כרמי גת"/>
    <x v="21"/>
    <d v="2016-12-18T00:00:00"/>
    <x v="1"/>
    <n v="12"/>
    <s v="ים/95/2016"/>
    <x v="1"/>
    <n v="1"/>
    <m/>
    <n v="245555"/>
  </r>
  <r>
    <x v="936"/>
    <n v="518440"/>
    <x v="1"/>
    <s v="  "/>
    <n v="197"/>
    <s v="קרית גת, כרמי גת"/>
    <x v="21"/>
    <d v="2016-12-18T00:00:00"/>
    <x v="1"/>
    <n v="12"/>
    <s v="ים/95/2016"/>
    <x v="1"/>
    <n v="1"/>
    <m/>
    <n v="245555"/>
  </r>
  <r>
    <x v="1514"/>
    <n v="322889"/>
    <x v="1"/>
    <s v="  "/>
    <s v="A10 "/>
    <s v="קרית גת, כרמי גת"/>
    <x v="21"/>
    <d v="2014-12-14T00:00:00"/>
    <x v="2"/>
    <n v="12"/>
    <s v="ים/161/2014"/>
    <x v="1"/>
    <n v="1"/>
    <m/>
    <n v="246000"/>
  </r>
  <r>
    <x v="1514"/>
    <n v="442958"/>
    <x v="1"/>
    <s v="  "/>
    <n v="137"/>
    <s v="קרית גת, כרמי גת"/>
    <x v="21"/>
    <d v="2014-05-04T00:00:00"/>
    <x v="2"/>
    <n v="5"/>
    <s v="ים/388/2013"/>
    <x v="1"/>
    <n v="1"/>
    <m/>
    <n v="246000"/>
  </r>
  <r>
    <x v="1515"/>
    <n v="435006"/>
    <x v="1"/>
    <s v="  "/>
    <s v="B272 "/>
    <s v="קרית גת, כרמי גת"/>
    <x v="21"/>
    <d v="2016-12-18T00:00:00"/>
    <x v="1"/>
    <n v="12"/>
    <s v="ים/95/2016"/>
    <x v="1"/>
    <n v="1"/>
    <m/>
    <n v="248500"/>
  </r>
  <r>
    <x v="1516"/>
    <n v="669462"/>
    <x v="1"/>
    <s v="  "/>
    <n v="110"/>
    <s v="קרית גת, כרמי גת"/>
    <x v="21"/>
    <d v="2015-06-14T00:00:00"/>
    <x v="3"/>
    <n v="6"/>
    <s v="ים/364/2014"/>
    <x v="1"/>
    <n v="1"/>
    <m/>
    <n v="250250"/>
  </r>
  <r>
    <x v="1517"/>
    <n v="918887"/>
    <x v="1"/>
    <s v="  "/>
    <n v="76"/>
    <s v="קרית גת, רובע הבנים"/>
    <x v="21"/>
    <d v="2016-12-11T00:00:00"/>
    <x v="1"/>
    <n v="12"/>
    <s v="ים/163/2016"/>
    <x v="2"/>
    <n v="1"/>
    <m/>
    <n v="251113"/>
  </r>
  <r>
    <x v="1518"/>
    <n v="515146"/>
    <x v="1"/>
    <s v="  "/>
    <n v="486"/>
    <s v="קרית גת, כרמי גת"/>
    <x v="21"/>
    <d v="2016-12-18T00:00:00"/>
    <x v="1"/>
    <n v="12"/>
    <s v="ים/95/2016"/>
    <x v="1"/>
    <n v="1"/>
    <m/>
    <n v="251590"/>
  </r>
  <r>
    <x v="1519"/>
    <n v="513323"/>
    <x v="1"/>
    <s v="  "/>
    <n v="386"/>
    <s v="קרית גת, כרמי גת"/>
    <x v="21"/>
    <d v="2016-12-18T00:00:00"/>
    <x v="1"/>
    <n v="12"/>
    <s v="ים/95/2016"/>
    <x v="1"/>
    <n v="1"/>
    <m/>
    <n v="252252"/>
  </r>
  <r>
    <x v="1520"/>
    <n v="520024"/>
    <x v="1"/>
    <s v="  "/>
    <n v="553"/>
    <s v="קרית גת, כרמי גת"/>
    <x v="21"/>
    <d v="2016-12-18T00:00:00"/>
    <x v="1"/>
    <n v="12"/>
    <s v="ים/95/2016"/>
    <x v="1"/>
    <n v="1"/>
    <m/>
    <n v="252595"/>
  </r>
  <r>
    <x v="1521"/>
    <n v="518440"/>
    <x v="1"/>
    <s v="  "/>
    <n v="192"/>
    <s v="קרית גת, כרמי גת"/>
    <x v="21"/>
    <d v="2016-12-18T00:00:00"/>
    <x v="1"/>
    <n v="12"/>
    <s v="ים/95/2016"/>
    <x v="1"/>
    <n v="1"/>
    <m/>
    <n v="253200"/>
  </r>
  <r>
    <x v="1522"/>
    <n v="420201"/>
    <x v="1"/>
    <s v="  "/>
    <n v="3"/>
    <s v="קרית גת, כרמי גת"/>
    <x v="21"/>
    <d v="2014-12-14T00:00:00"/>
    <x v="2"/>
    <n v="12"/>
    <s v="ים/161/2014"/>
    <x v="1"/>
    <n v="1"/>
    <m/>
    <n v="253600"/>
  </r>
  <r>
    <x v="1523"/>
    <n v="513323"/>
    <x v="1"/>
    <s v="  "/>
    <n v="384"/>
    <s v="קרית גת, כרמי גת"/>
    <x v="21"/>
    <d v="2016-12-18T00:00:00"/>
    <x v="1"/>
    <n v="12"/>
    <s v="ים/95/2016"/>
    <x v="1"/>
    <n v="1"/>
    <m/>
    <n v="253800"/>
  </r>
  <r>
    <x v="941"/>
    <n v="411711"/>
    <x v="1"/>
    <s v="  "/>
    <s v="A372 "/>
    <s v="קרית גת, כרמי גת"/>
    <x v="21"/>
    <d v="2016-12-18T00:00:00"/>
    <x v="1"/>
    <n v="12"/>
    <s v="ים/95/2016"/>
    <x v="1"/>
    <n v="1"/>
    <m/>
    <n v="255000"/>
  </r>
  <r>
    <x v="941"/>
    <n v="435006"/>
    <x v="1"/>
    <s v="  "/>
    <s v="B533 "/>
    <s v="קרית גת, כרמי גת"/>
    <x v="21"/>
    <d v="2016-12-18T00:00:00"/>
    <x v="1"/>
    <n v="12"/>
    <s v="ים/95/2016"/>
    <x v="1"/>
    <n v="1"/>
    <m/>
    <n v="255000"/>
  </r>
  <r>
    <x v="1524"/>
    <n v="450200"/>
    <x v="1"/>
    <s v="  "/>
    <n v="150"/>
    <s v="קרית גת, כרמי גת"/>
    <x v="21"/>
    <d v="2014-05-04T00:00:00"/>
    <x v="2"/>
    <n v="5"/>
    <s v="ים/388/2013"/>
    <x v="1"/>
    <n v="1"/>
    <m/>
    <n v="255024"/>
  </r>
  <r>
    <x v="1525"/>
    <n v="466863"/>
    <x v="1"/>
    <s v="  "/>
    <n v="153"/>
    <s v="קרית גת, כרמי גת"/>
    <x v="21"/>
    <d v="2015-06-14T00:00:00"/>
    <x v="3"/>
    <n v="6"/>
    <s v="ים/364/2014"/>
    <x v="1"/>
    <n v="1"/>
    <m/>
    <n v="255607"/>
  </r>
  <r>
    <x v="1526"/>
    <n v="518845"/>
    <x v="1"/>
    <s v="  "/>
    <n v="198"/>
    <s v="קרית גת, כרמי גת"/>
    <x v="21"/>
    <d v="2016-12-18T00:00:00"/>
    <x v="1"/>
    <n v="12"/>
    <s v="ים/95/2016"/>
    <x v="1"/>
    <n v="1"/>
    <m/>
    <n v="255994"/>
  </r>
  <r>
    <x v="1527"/>
    <n v="396048"/>
    <x v="1"/>
    <s v="  "/>
    <n v="116"/>
    <s v="קרית גת, כרמי גת"/>
    <x v="21"/>
    <d v="2014-05-04T00:00:00"/>
    <x v="2"/>
    <n v="5"/>
    <s v="ים/388/2013"/>
    <x v="1"/>
    <n v="1"/>
    <m/>
    <n v="256500"/>
  </r>
  <r>
    <x v="1528"/>
    <n v="396999"/>
    <x v="1"/>
    <s v="  "/>
    <s v="A146 "/>
    <s v="קרית גת, כרמי גת"/>
    <x v="21"/>
    <d v="2016-05-08T00:00:00"/>
    <x v="1"/>
    <n v="5"/>
    <s v="ים/20/2016"/>
    <x v="1"/>
    <n v="1"/>
    <m/>
    <n v="256777"/>
  </r>
  <r>
    <x v="1529"/>
    <n v="445984"/>
    <x v="1"/>
    <s v="  "/>
    <n v="149"/>
    <s v="קרית גת, כרמי גת"/>
    <x v="21"/>
    <d v="2014-05-04T00:00:00"/>
    <x v="2"/>
    <n v="5"/>
    <s v="ים/388/2013"/>
    <x v="1"/>
    <n v="1"/>
    <m/>
    <n v="257191"/>
  </r>
  <r>
    <x v="1530"/>
    <n v="411506"/>
    <x v="1"/>
    <s v="  "/>
    <s v="A373 "/>
    <s v="קרית גת, כרמי גת"/>
    <x v="21"/>
    <d v="2016-12-18T00:00:00"/>
    <x v="1"/>
    <n v="12"/>
    <s v="ים/95/2016"/>
    <x v="1"/>
    <n v="1"/>
    <m/>
    <n v="258610"/>
  </r>
  <r>
    <x v="1531"/>
    <n v="537706"/>
    <x v="1"/>
    <s v="  "/>
    <n v="566"/>
    <s v="קרית גת, כרמי גת"/>
    <x v="21"/>
    <d v="2016-12-18T00:00:00"/>
    <x v="1"/>
    <n v="12"/>
    <s v="ים/95/2016"/>
    <x v="1"/>
    <n v="1"/>
    <m/>
    <n v="258975"/>
  </r>
  <r>
    <x v="1532"/>
    <n v="869513"/>
    <x v="1"/>
    <s v="  "/>
    <n v="73"/>
    <s v="קרית גת, רובע הבנים"/>
    <x v="21"/>
    <d v="2016-12-11T00:00:00"/>
    <x v="1"/>
    <n v="12"/>
    <s v="ים/163/2016"/>
    <x v="2"/>
    <n v="1"/>
    <m/>
    <n v="259950"/>
  </r>
  <r>
    <x v="1533"/>
    <n v="520024"/>
    <x v="1"/>
    <s v="  "/>
    <n v="555"/>
    <s v="קרית גת, כרמי גת"/>
    <x v="21"/>
    <d v="2016-12-18T00:00:00"/>
    <x v="1"/>
    <n v="12"/>
    <s v="ים/95/2016"/>
    <x v="1"/>
    <n v="1"/>
    <m/>
    <n v="259974"/>
  </r>
  <r>
    <x v="947"/>
    <n v="514231"/>
    <x v="1"/>
    <s v="  "/>
    <n v="542"/>
    <s v="קרית גת, כרמי גת"/>
    <x v="21"/>
    <d v="2016-12-18T00:00:00"/>
    <x v="1"/>
    <n v="12"/>
    <s v="ים/95/2016"/>
    <x v="1"/>
    <n v="1"/>
    <m/>
    <n v="260000"/>
  </r>
  <r>
    <x v="1534"/>
    <n v="520024"/>
    <x v="1"/>
    <s v="  "/>
    <n v="556"/>
    <s v="קרית גת, כרמי גת"/>
    <x v="21"/>
    <d v="2016-12-18T00:00:00"/>
    <x v="1"/>
    <n v="12"/>
    <s v="ים/95/2016"/>
    <x v="1"/>
    <n v="1"/>
    <m/>
    <n v="260999"/>
  </r>
  <r>
    <x v="1535"/>
    <n v="857664"/>
    <x v="1"/>
    <s v="  "/>
    <n v="74"/>
    <s v="קרית גת, רובע הבנים"/>
    <x v="21"/>
    <d v="2016-12-11T00:00:00"/>
    <x v="1"/>
    <n v="12"/>
    <s v="ים/163/2016"/>
    <x v="2"/>
    <n v="1"/>
    <m/>
    <n v="261700"/>
  </r>
  <r>
    <x v="1536"/>
    <n v="518440"/>
    <x v="1"/>
    <s v="  "/>
    <n v="283"/>
    <s v="קרית גת, כרמי גת"/>
    <x v="21"/>
    <d v="2016-12-18T00:00:00"/>
    <x v="1"/>
    <n v="12"/>
    <s v="ים/95/2016"/>
    <x v="1"/>
    <n v="1"/>
    <m/>
    <n v="263520"/>
  </r>
  <r>
    <x v="1537"/>
    <n v="903087"/>
    <x v="1"/>
    <s v="  "/>
    <n v="75"/>
    <s v="קרית גת, רובע הבנים"/>
    <x v="21"/>
    <d v="2016-12-11T00:00:00"/>
    <x v="1"/>
    <n v="12"/>
    <s v="ים/163/2016"/>
    <x v="2"/>
    <n v="1"/>
    <m/>
    <n v="264250"/>
  </r>
  <r>
    <x v="1538"/>
    <n v="445694"/>
    <x v="1"/>
    <s v="  "/>
    <s v="A355 "/>
    <s v="קרית גת, כרמי גת"/>
    <x v="21"/>
    <d v="2016-12-18T00:00:00"/>
    <x v="1"/>
    <n v="12"/>
    <s v="ים/95/2016"/>
    <x v="1"/>
    <n v="1"/>
    <m/>
    <n v="264377"/>
  </r>
  <r>
    <x v="1539"/>
    <n v="513323"/>
    <x v="1"/>
    <s v="  "/>
    <n v="392"/>
    <s v="קרית גת, כרמי גת"/>
    <x v="21"/>
    <d v="2016-12-18T00:00:00"/>
    <x v="1"/>
    <n v="12"/>
    <s v="ים/95/2016"/>
    <x v="1"/>
    <n v="1"/>
    <m/>
    <n v="265000"/>
  </r>
  <r>
    <x v="1540"/>
    <n v="435211"/>
    <x v="1"/>
    <s v="  "/>
    <s v="A532 "/>
    <s v="קרית גת, כרמי גת"/>
    <x v="21"/>
    <d v="2016-12-18T00:00:00"/>
    <x v="1"/>
    <n v="12"/>
    <s v="ים/95/2016"/>
    <x v="1"/>
    <n v="1"/>
    <m/>
    <n v="265780"/>
  </r>
  <r>
    <x v="1541"/>
    <n v="442958"/>
    <x v="1"/>
    <s v="  "/>
    <n v="132"/>
    <s v="קרית גת, כרמי גת"/>
    <x v="21"/>
    <d v="2014-05-04T00:00:00"/>
    <x v="2"/>
    <n v="5"/>
    <s v="ים/388/2013"/>
    <x v="1"/>
    <n v="1"/>
    <m/>
    <n v="266000"/>
  </r>
  <r>
    <x v="1542"/>
    <n v="366738"/>
    <x v="1"/>
    <s v="  "/>
    <n v="157"/>
    <s v="קרית גת, כרמי גת"/>
    <x v="21"/>
    <d v="2014-12-10T00:00:00"/>
    <x v="2"/>
    <n v="12"/>
    <s v="ים/142/2014"/>
    <x v="1"/>
    <n v="1"/>
    <m/>
    <n v="266513"/>
  </r>
  <r>
    <x v="1543"/>
    <n v="538223"/>
    <x v="1"/>
    <s v="  "/>
    <n v="526"/>
    <s v="קרית גת, כרמי גת"/>
    <x v="21"/>
    <d v="2016-12-18T00:00:00"/>
    <x v="1"/>
    <n v="12"/>
    <s v="ים/95/2016"/>
    <x v="1"/>
    <n v="1"/>
    <m/>
    <n v="267180"/>
  </r>
  <r>
    <x v="1544"/>
    <n v="449595"/>
    <x v="1"/>
    <s v="  "/>
    <s v="B355 "/>
    <s v="קרית גת, כרמי גת"/>
    <x v="21"/>
    <d v="2016-12-18T00:00:00"/>
    <x v="1"/>
    <n v="12"/>
    <s v="ים/95/2016"/>
    <x v="1"/>
    <n v="1"/>
    <m/>
    <n v="268990"/>
  </r>
  <r>
    <x v="1545"/>
    <n v="435211"/>
    <x v="1"/>
    <s v="  "/>
    <s v="B532 "/>
    <s v="קרית גת, כרמי גת"/>
    <x v="21"/>
    <d v="2016-12-18T00:00:00"/>
    <x v="1"/>
    <n v="12"/>
    <s v="ים/95/2016"/>
    <x v="1"/>
    <n v="1"/>
    <m/>
    <n v="269353"/>
  </r>
  <r>
    <x v="1546"/>
    <n v="518440"/>
    <x v="1"/>
    <s v="  "/>
    <n v="286"/>
    <s v="קרית גת, כרמי גת"/>
    <x v="21"/>
    <d v="2016-12-18T00:00:00"/>
    <x v="1"/>
    <n v="12"/>
    <s v="ים/95/2016"/>
    <x v="1"/>
    <n v="1"/>
    <m/>
    <n v="269751"/>
  </r>
  <r>
    <x v="1547"/>
    <n v="973197"/>
    <x v="1"/>
    <s v="  "/>
    <n v="77"/>
    <s v="קרית גת, רובע הבנים"/>
    <x v="21"/>
    <d v="2016-12-11T00:00:00"/>
    <x v="1"/>
    <n v="12"/>
    <s v="ים/163/2016"/>
    <x v="2"/>
    <n v="1"/>
    <m/>
    <n v="269900"/>
  </r>
  <r>
    <x v="1548"/>
    <n v="515889"/>
    <x v="1"/>
    <s v="  "/>
    <n v="564"/>
    <s v="קרית גת, כרמי גת"/>
    <x v="21"/>
    <d v="2016-12-18T00:00:00"/>
    <x v="1"/>
    <n v="12"/>
    <s v="ים/95/2016"/>
    <x v="1"/>
    <n v="1"/>
    <m/>
    <n v="270001"/>
  </r>
  <r>
    <x v="1549"/>
    <n v="515889"/>
    <x v="1"/>
    <s v="  "/>
    <n v="565"/>
    <s v="קרית גת, כרמי גת"/>
    <x v="21"/>
    <d v="2016-12-18T00:00:00"/>
    <x v="1"/>
    <n v="12"/>
    <s v="ים/95/2016"/>
    <x v="1"/>
    <n v="1"/>
    <m/>
    <n v="271000"/>
  </r>
  <r>
    <x v="1550"/>
    <n v="532829"/>
    <x v="1"/>
    <s v="  "/>
    <n v="281"/>
    <s v="קרית גת, כרמי גת"/>
    <x v="21"/>
    <d v="2016-12-18T00:00:00"/>
    <x v="1"/>
    <n v="12"/>
    <s v="ים/95/2016"/>
    <x v="1"/>
    <n v="1"/>
    <m/>
    <n v="271050"/>
  </r>
  <r>
    <x v="1551"/>
    <n v="538724"/>
    <x v="1"/>
    <s v="  "/>
    <n v="527"/>
    <s v="קרית גת, כרמי גת"/>
    <x v="21"/>
    <d v="2016-12-18T00:00:00"/>
    <x v="1"/>
    <n v="12"/>
    <s v="ים/95/2016"/>
    <x v="1"/>
    <n v="1"/>
    <m/>
    <n v="272180"/>
  </r>
  <r>
    <x v="1552"/>
    <n v="420201"/>
    <x v="1"/>
    <s v="  "/>
    <n v="5"/>
    <s v="קרית גת, כרמי גת"/>
    <x v="21"/>
    <d v="2014-12-14T00:00:00"/>
    <x v="2"/>
    <n v="12"/>
    <s v="ים/161/2014"/>
    <x v="1"/>
    <n v="1"/>
    <m/>
    <n v="275000"/>
  </r>
  <r>
    <x v="1553"/>
    <n v="411711"/>
    <x v="1"/>
    <s v="  "/>
    <s v="B372 "/>
    <s v="קרית גת, כרמי גת"/>
    <x v="21"/>
    <d v="2016-12-18T00:00:00"/>
    <x v="1"/>
    <n v="12"/>
    <s v="ים/95/2016"/>
    <x v="1"/>
    <n v="1"/>
    <m/>
    <n v="277421"/>
  </r>
  <r>
    <x v="954"/>
    <n v="513323"/>
    <x v="1"/>
    <s v="  "/>
    <n v="387"/>
    <s v="קרית גת, כרמי גת"/>
    <x v="21"/>
    <d v="2016-12-18T00:00:00"/>
    <x v="1"/>
    <n v="12"/>
    <s v="ים/95/2016"/>
    <x v="1"/>
    <n v="1"/>
    <m/>
    <n v="280000"/>
  </r>
  <r>
    <x v="1554"/>
    <n v="538724"/>
    <x v="1"/>
    <s v="  "/>
    <n v="522"/>
    <s v="קרית גת, כרמי גת"/>
    <x v="21"/>
    <d v="2016-12-18T00:00:00"/>
    <x v="1"/>
    <n v="12"/>
    <s v="ים/95/2016"/>
    <x v="1"/>
    <n v="1"/>
    <m/>
    <n v="280299"/>
  </r>
  <r>
    <x v="1555"/>
    <n v="518440"/>
    <x v="1"/>
    <s v="  "/>
    <n v="194"/>
    <s v="קרית גת, כרמי גת"/>
    <x v="21"/>
    <d v="2016-12-18T00:00:00"/>
    <x v="1"/>
    <n v="12"/>
    <s v="ים/95/2016"/>
    <x v="1"/>
    <n v="1"/>
    <m/>
    <n v="280550"/>
  </r>
  <r>
    <x v="1556"/>
    <n v="513323"/>
    <x v="1"/>
    <s v="  "/>
    <n v="393"/>
    <s v="קרית גת, כרמי גת"/>
    <x v="21"/>
    <d v="2016-12-18T00:00:00"/>
    <x v="1"/>
    <n v="12"/>
    <s v="ים/95/2016"/>
    <x v="1"/>
    <n v="1"/>
    <m/>
    <n v="281555"/>
  </r>
  <r>
    <x v="1557"/>
    <n v="558129"/>
    <x v="1"/>
    <s v="  "/>
    <s v="B112 "/>
    <s v="קרית גת, כרמי גת"/>
    <x v="21"/>
    <d v="2016-05-08T00:00:00"/>
    <x v="1"/>
    <n v="5"/>
    <s v="ים/20/2016"/>
    <x v="1"/>
    <n v="1"/>
    <m/>
    <n v="282700"/>
  </r>
  <r>
    <x v="1558"/>
    <n v="520732"/>
    <x v="1"/>
    <s v="  "/>
    <n v="487"/>
    <s v="קרית גת, כרמי גת"/>
    <x v="21"/>
    <d v="2016-12-18T00:00:00"/>
    <x v="1"/>
    <n v="12"/>
    <s v="ים/95/2016"/>
    <x v="1"/>
    <n v="1"/>
    <m/>
    <n v="283106"/>
  </r>
  <r>
    <x v="1559"/>
    <n v="520024"/>
    <x v="1"/>
    <s v="  "/>
    <n v="554"/>
    <s v="קרית גת, כרמי גת"/>
    <x v="21"/>
    <d v="2016-12-18T00:00:00"/>
    <x v="1"/>
    <n v="12"/>
    <s v="ים/95/2016"/>
    <x v="1"/>
    <n v="1"/>
    <m/>
    <n v="284467"/>
  </r>
  <r>
    <x v="1559"/>
    <n v="520029"/>
    <x v="1"/>
    <s v="  "/>
    <n v="552"/>
    <s v="קרית גת, כרמי גת"/>
    <x v="21"/>
    <d v="2016-12-18T00:00:00"/>
    <x v="1"/>
    <n v="12"/>
    <s v="ים/95/2016"/>
    <x v="1"/>
    <n v="1"/>
    <m/>
    <n v="284467"/>
  </r>
  <r>
    <x v="1560"/>
    <n v="765723"/>
    <x v="1"/>
    <s v="  "/>
    <n v="47"/>
    <s v="קרית גת, כרמי גת"/>
    <x v="21"/>
    <d v="2014-05-04T00:00:00"/>
    <x v="2"/>
    <n v="5"/>
    <s v="ים/388/2013"/>
    <x v="1"/>
    <n v="2"/>
    <m/>
    <n v="286000"/>
  </r>
  <r>
    <x v="1561"/>
    <n v="513323"/>
    <x v="1"/>
    <s v="  "/>
    <n v="394"/>
    <s v="קרית גת, כרמי גת"/>
    <x v="21"/>
    <d v="2016-12-18T00:00:00"/>
    <x v="1"/>
    <n v="12"/>
    <s v="ים/95/2016"/>
    <x v="1"/>
    <n v="1"/>
    <m/>
    <n v="287757"/>
  </r>
  <r>
    <x v="1562"/>
    <n v="513323"/>
    <x v="1"/>
    <s v="  "/>
    <n v="395"/>
    <s v="קרית גת, כרמי גת"/>
    <x v="21"/>
    <d v="2016-12-18T00:00:00"/>
    <x v="1"/>
    <n v="12"/>
    <s v="ים/95/2016"/>
    <x v="1"/>
    <n v="1"/>
    <m/>
    <n v="288100"/>
  </r>
  <r>
    <x v="1563"/>
    <n v="513323"/>
    <x v="1"/>
    <s v="  "/>
    <n v="388"/>
    <s v="קרית גת, כרמי גת"/>
    <x v="21"/>
    <d v="2016-12-18T00:00:00"/>
    <x v="1"/>
    <n v="12"/>
    <s v="ים/95/2016"/>
    <x v="1"/>
    <n v="1"/>
    <m/>
    <n v="288288"/>
  </r>
  <r>
    <x v="1564"/>
    <n v="787340"/>
    <x v="1"/>
    <s v="  "/>
    <n v="18"/>
    <s v="קרית גת, כרמי גת"/>
    <x v="21"/>
    <d v="2014-05-04T00:00:00"/>
    <x v="2"/>
    <n v="5"/>
    <s v="ים/388/2013"/>
    <x v="1"/>
    <n v="2"/>
    <m/>
    <n v="291000"/>
  </r>
  <r>
    <x v="1564"/>
    <n v="796960"/>
    <x v="1"/>
    <s v="  "/>
    <n v="29"/>
    <s v="קרית גת, כרמי גת"/>
    <x v="21"/>
    <d v="2014-05-04T00:00:00"/>
    <x v="2"/>
    <n v="5"/>
    <s v="ים/388/2013"/>
    <x v="1"/>
    <n v="2"/>
    <m/>
    <n v="291000"/>
  </r>
  <r>
    <x v="1565"/>
    <n v="538724"/>
    <x v="1"/>
    <s v="  "/>
    <n v="525"/>
    <s v="קרית גת, כרמי גת"/>
    <x v="21"/>
    <d v="2016-12-18T00:00:00"/>
    <x v="1"/>
    <n v="12"/>
    <s v="ים/95/2016"/>
    <x v="1"/>
    <n v="1"/>
    <m/>
    <n v="292520"/>
  </r>
  <r>
    <x v="1566"/>
    <n v="831223"/>
    <x v="1"/>
    <s v="  "/>
    <n v="39"/>
    <s v="קרית גת, כרמי גת"/>
    <x v="21"/>
    <d v="2014-05-04T00:00:00"/>
    <x v="2"/>
    <n v="5"/>
    <s v="ים/388/2013"/>
    <x v="1"/>
    <n v="2"/>
    <m/>
    <n v="295566"/>
  </r>
  <r>
    <x v="1567"/>
    <n v="411711"/>
    <x v="1"/>
    <s v="  "/>
    <s v="B373 "/>
    <s v="קרית גת, כרמי גת"/>
    <x v="21"/>
    <d v="2016-12-18T00:00:00"/>
    <x v="1"/>
    <n v="12"/>
    <s v="ים/95/2016"/>
    <x v="1"/>
    <n v="1"/>
    <m/>
    <n v="296000"/>
  </r>
  <r>
    <x v="1568"/>
    <n v="420201"/>
    <x v="1"/>
    <s v="  "/>
    <n v="6"/>
    <s v="קרית גת, כרמי גת"/>
    <x v="21"/>
    <d v="2014-12-14T00:00:00"/>
    <x v="2"/>
    <n v="12"/>
    <s v="ים/161/2014"/>
    <x v="1"/>
    <n v="1"/>
    <m/>
    <n v="296260"/>
  </r>
  <r>
    <x v="1569"/>
    <n v="538724"/>
    <x v="1"/>
    <s v="  "/>
    <n v="521"/>
    <s v="קרית גת, כרמי גת"/>
    <x v="21"/>
    <d v="2016-12-18T00:00:00"/>
    <x v="1"/>
    <n v="12"/>
    <s v="ים/95/2016"/>
    <x v="1"/>
    <n v="1"/>
    <m/>
    <n v="297797"/>
  </r>
  <r>
    <x v="1570"/>
    <n v="514743"/>
    <x v="1"/>
    <s v="  "/>
    <n v="546"/>
    <s v="קרית גת, כרמי גת"/>
    <x v="21"/>
    <d v="2016-12-18T00:00:00"/>
    <x v="1"/>
    <n v="12"/>
    <s v="ים/95/2016"/>
    <x v="1"/>
    <n v="1"/>
    <m/>
    <n v="301550"/>
  </r>
  <r>
    <x v="1571"/>
    <n v="365892"/>
    <x v="1"/>
    <s v="  "/>
    <n v="127"/>
    <s v="קרית גת, כרמי גת"/>
    <x v="21"/>
    <d v="2016-01-31T00:00:00"/>
    <x v="1"/>
    <n v="1"/>
    <s v="ים/234/2015"/>
    <x v="1"/>
    <n v="1"/>
    <m/>
    <n v="307785"/>
  </r>
  <r>
    <x v="1572"/>
    <n v="518440"/>
    <x v="1"/>
    <s v="  "/>
    <n v="511"/>
    <s v="קרית גת, כרמי גת"/>
    <x v="21"/>
    <d v="2016-12-18T00:00:00"/>
    <x v="1"/>
    <n v="12"/>
    <s v="ים/95/2016"/>
    <x v="1"/>
    <n v="1"/>
    <m/>
    <n v="310000"/>
  </r>
  <r>
    <x v="1573"/>
    <n v="518339"/>
    <x v="1"/>
    <s v="  "/>
    <n v="504"/>
    <s v="קרית גת, כרמי גת"/>
    <x v="21"/>
    <d v="2016-12-18T00:00:00"/>
    <x v="1"/>
    <n v="12"/>
    <s v="ים/95/2016"/>
    <x v="1"/>
    <n v="1"/>
    <m/>
    <n v="311000"/>
  </r>
  <r>
    <x v="1574"/>
    <n v="518440"/>
    <x v="1"/>
    <s v="  "/>
    <n v="513"/>
    <s v="קרית גת, כרמי גת"/>
    <x v="21"/>
    <d v="2016-12-18T00:00:00"/>
    <x v="1"/>
    <n v="12"/>
    <s v="ים/95/2016"/>
    <x v="1"/>
    <n v="1"/>
    <m/>
    <n v="311101"/>
  </r>
  <r>
    <x v="1575"/>
    <n v="420201"/>
    <x v="1"/>
    <s v="  "/>
    <n v="1"/>
    <s v="קרית גת, כרמי גת"/>
    <x v="21"/>
    <d v="2014-12-14T00:00:00"/>
    <x v="2"/>
    <n v="12"/>
    <s v="ים/161/2014"/>
    <x v="1"/>
    <n v="1"/>
    <m/>
    <n v="312750"/>
  </r>
  <r>
    <x v="1576"/>
    <n v="432971"/>
    <x v="1"/>
    <s v="  "/>
    <s v="A531 "/>
    <s v="קרית גת, כרמי גת"/>
    <x v="21"/>
    <d v="2016-12-18T00:00:00"/>
    <x v="1"/>
    <n v="12"/>
    <s v="ים/95/2016"/>
    <x v="1"/>
    <n v="1"/>
    <m/>
    <n v="314000"/>
  </r>
  <r>
    <x v="1577"/>
    <n v="518339"/>
    <x v="1"/>
    <s v="  "/>
    <n v="294"/>
    <s v="קרית גת, כרמי גת"/>
    <x v="21"/>
    <d v="2016-12-18T00:00:00"/>
    <x v="1"/>
    <n v="12"/>
    <s v="ים/95/2016"/>
    <x v="1"/>
    <n v="1"/>
    <m/>
    <n v="315000"/>
  </r>
  <r>
    <x v="1578"/>
    <n v="435006"/>
    <x v="1"/>
    <s v="  "/>
    <s v="B531 "/>
    <s v="קרית גת, כרמי גת"/>
    <x v="21"/>
    <d v="2016-12-18T00:00:00"/>
    <x v="1"/>
    <n v="12"/>
    <s v="ים/95/2016"/>
    <x v="1"/>
    <n v="1"/>
    <m/>
    <n v="315555"/>
  </r>
  <r>
    <x v="1579"/>
    <n v="519043"/>
    <x v="1"/>
    <s v="  "/>
    <n v="539"/>
    <s v="קרית גת, כרמי גת"/>
    <x v="21"/>
    <d v="2016-12-18T00:00:00"/>
    <x v="1"/>
    <n v="12"/>
    <s v="ים/95/2016"/>
    <x v="1"/>
    <n v="1"/>
    <m/>
    <n v="323371"/>
  </r>
  <r>
    <x v="1580"/>
    <n v="513323"/>
    <x v="1"/>
    <s v="  "/>
    <n v="389"/>
    <s v="קרית גת, כרמי גת"/>
    <x v="21"/>
    <d v="2016-12-18T00:00:00"/>
    <x v="1"/>
    <n v="12"/>
    <s v="ים/95/2016"/>
    <x v="1"/>
    <n v="1"/>
    <m/>
    <n v="323996"/>
  </r>
  <r>
    <x v="1581"/>
    <n v="370547"/>
    <x v="1"/>
    <s v="  "/>
    <n v="156"/>
    <s v="קרית גת, כרמי גת"/>
    <x v="21"/>
    <d v="2016-01-31T00:00:00"/>
    <x v="1"/>
    <n v="1"/>
    <s v="ים/234/2015"/>
    <x v="1"/>
    <n v="1"/>
    <m/>
    <n v="324018"/>
  </r>
  <r>
    <x v="1582"/>
    <n v="417342"/>
    <x v="1"/>
    <s v="  "/>
    <s v="B363 "/>
    <s v="קרית גת, כרמי גת"/>
    <x v="21"/>
    <d v="2016-12-18T00:00:00"/>
    <x v="1"/>
    <n v="12"/>
    <s v="ים/95/2016"/>
    <x v="1"/>
    <n v="1"/>
    <m/>
    <n v="329555"/>
  </r>
  <r>
    <x v="1583"/>
    <n v="417342"/>
    <x v="1"/>
    <s v="  "/>
    <s v="A363 "/>
    <s v="קרית גת, כרמי גת"/>
    <x v="21"/>
    <d v="2016-12-18T00:00:00"/>
    <x v="1"/>
    <n v="12"/>
    <s v="ים/95/2016"/>
    <x v="1"/>
    <n v="1"/>
    <m/>
    <n v="331555"/>
  </r>
  <r>
    <x v="971"/>
    <n v="327677"/>
    <x v="1"/>
    <s v="  "/>
    <n v="50"/>
    <s v="קרית גת, כרמי גת"/>
    <x v="21"/>
    <d v="2016-01-31T00:00:00"/>
    <x v="1"/>
    <n v="1"/>
    <s v="ים/234/2015"/>
    <x v="1"/>
    <n v="1"/>
    <m/>
    <n v="333000"/>
  </r>
  <r>
    <x v="1584"/>
    <n v="766912"/>
    <x v="1"/>
    <s v="  "/>
    <n v="69"/>
    <s v="קרית גת, כרמי גת"/>
    <x v="21"/>
    <d v="2014-05-04T00:00:00"/>
    <x v="2"/>
    <n v="5"/>
    <s v="ים/388/2013"/>
    <x v="1"/>
    <n v="2"/>
    <m/>
    <n v="333088"/>
  </r>
  <r>
    <x v="1585"/>
    <n v="513323"/>
    <x v="1"/>
    <s v="  "/>
    <n v="544"/>
    <s v="קרית גת, כרמי גת"/>
    <x v="21"/>
    <d v="2016-12-18T00:00:00"/>
    <x v="1"/>
    <n v="12"/>
    <s v="ים/95/2016"/>
    <x v="1"/>
    <n v="1"/>
    <m/>
    <n v="336000"/>
  </r>
  <r>
    <x v="1585"/>
    <n v="538724"/>
    <x v="1"/>
    <s v="  "/>
    <n v="524"/>
    <s v="קרית גת, כרמי גת"/>
    <x v="21"/>
    <d v="2016-12-18T00:00:00"/>
    <x v="1"/>
    <n v="12"/>
    <s v="ים/95/2016"/>
    <x v="1"/>
    <n v="1"/>
    <m/>
    <n v="336000"/>
  </r>
  <r>
    <x v="1586"/>
    <n v="547445"/>
    <x v="1"/>
    <s v="  "/>
    <n v="551"/>
    <s v="קרית גת, כרמי גת"/>
    <x v="21"/>
    <d v="2016-12-18T00:00:00"/>
    <x v="1"/>
    <n v="12"/>
    <s v="ים/95/2016"/>
    <x v="1"/>
    <n v="1"/>
    <m/>
    <n v="352520"/>
  </r>
  <r>
    <x v="1587"/>
    <n v="628124"/>
    <x v="1"/>
    <s v="  "/>
    <n v="46"/>
    <s v="קרית גת, כרמי גת"/>
    <x v="21"/>
    <d v="2014-12-10T00:00:00"/>
    <x v="2"/>
    <n v="12"/>
    <s v="ים/142/2014"/>
    <x v="1"/>
    <n v="2"/>
    <m/>
    <n v="354000"/>
  </r>
  <r>
    <x v="1588"/>
    <n v="761508"/>
    <x v="1"/>
    <s v="  "/>
    <n v="61"/>
    <s v="קרית גת, כרמי גת"/>
    <x v="21"/>
    <d v="2014-05-04T00:00:00"/>
    <x v="2"/>
    <n v="5"/>
    <s v="ים/388/2013"/>
    <x v="1"/>
    <n v="2"/>
    <m/>
    <n v="355555"/>
  </r>
  <r>
    <x v="1589"/>
    <n v="321858"/>
    <x v="1"/>
    <s v="  "/>
    <s v="A13 "/>
    <s v="קרית גת, כרמי גת"/>
    <x v="21"/>
    <d v="2014-12-14T00:00:00"/>
    <x v="2"/>
    <n v="12"/>
    <s v="ים/161/2014"/>
    <x v="1"/>
    <n v="1"/>
    <m/>
    <n v="357148"/>
  </r>
  <r>
    <x v="1590"/>
    <n v="346616"/>
    <x v="1"/>
    <s v="  "/>
    <n v="39"/>
    <s v="קרית גת, כרמי גת"/>
    <x v="21"/>
    <d v="2014-12-14T00:00:00"/>
    <x v="2"/>
    <n v="12"/>
    <s v="ים/161/2014"/>
    <x v="1"/>
    <n v="1"/>
    <m/>
    <n v="360000"/>
  </r>
  <r>
    <x v="1590"/>
    <n v="364363"/>
    <x v="1"/>
    <s v="  "/>
    <n v="135"/>
    <s v="קרית גת, כרמי גת"/>
    <x v="21"/>
    <d v="2016-01-31T00:00:00"/>
    <x v="1"/>
    <n v="1"/>
    <s v="ים/234/2015"/>
    <x v="1"/>
    <n v="1"/>
    <m/>
    <n v="360000"/>
  </r>
  <r>
    <x v="1591"/>
    <n v="615333"/>
    <x v="1"/>
    <s v="  "/>
    <n v="52"/>
    <s v="קרית גת, כרמי גת"/>
    <x v="21"/>
    <d v="2014-12-10T00:00:00"/>
    <x v="2"/>
    <n v="12"/>
    <s v="ים/142/2014"/>
    <x v="1"/>
    <n v="2"/>
    <m/>
    <n v="360360"/>
  </r>
  <r>
    <x v="1591"/>
    <n v="761508"/>
    <x v="1"/>
    <s v="  "/>
    <n v="54"/>
    <s v="קרית גת, כרמי גת"/>
    <x v="21"/>
    <d v="2014-05-04T00:00:00"/>
    <x v="2"/>
    <n v="5"/>
    <s v="ים/388/2013"/>
    <x v="1"/>
    <n v="2"/>
    <m/>
    <n v="360360"/>
  </r>
  <r>
    <x v="1591"/>
    <n v="761508"/>
    <x v="1"/>
    <s v="  "/>
    <n v="55"/>
    <s v="קרית גת, כרמי גת"/>
    <x v="21"/>
    <d v="2014-05-04T00:00:00"/>
    <x v="2"/>
    <n v="5"/>
    <s v="ים/388/2013"/>
    <x v="1"/>
    <n v="2"/>
    <m/>
    <n v="360360"/>
  </r>
  <r>
    <x v="1591"/>
    <n v="789718"/>
    <x v="1"/>
    <s v="  "/>
    <n v="21"/>
    <s v="קרית גת, כרמי גת"/>
    <x v="21"/>
    <d v="2014-05-04T00:00:00"/>
    <x v="2"/>
    <n v="5"/>
    <s v="ים/388/2013"/>
    <x v="1"/>
    <n v="2"/>
    <m/>
    <n v="360360"/>
  </r>
  <r>
    <x v="1591"/>
    <n v="795771"/>
    <x v="1"/>
    <s v="  "/>
    <n v="22"/>
    <s v="קרית גת, כרמי גת"/>
    <x v="21"/>
    <d v="2014-05-04T00:00:00"/>
    <x v="2"/>
    <n v="5"/>
    <s v="ים/388/2013"/>
    <x v="1"/>
    <n v="2"/>
    <m/>
    <n v="360360"/>
  </r>
  <r>
    <x v="1591"/>
    <n v="833601"/>
    <x v="1"/>
    <s v="  "/>
    <n v="40"/>
    <s v="קרית גת, כרמי גת"/>
    <x v="21"/>
    <d v="2014-05-04T00:00:00"/>
    <x v="2"/>
    <n v="5"/>
    <s v="ים/388/2013"/>
    <x v="1"/>
    <n v="2"/>
    <m/>
    <n v="360360"/>
  </r>
  <r>
    <x v="1592"/>
    <n v="637339"/>
    <x v="1"/>
    <s v="  "/>
    <n v="20"/>
    <s v="קרית גת, כרמי גת"/>
    <x v="21"/>
    <d v="2014-12-10T00:00:00"/>
    <x v="2"/>
    <n v="12"/>
    <s v="ים/142/2014"/>
    <x v="1"/>
    <n v="2"/>
    <m/>
    <n v="361300"/>
  </r>
  <r>
    <x v="1593"/>
    <n v="620972"/>
    <x v="1"/>
    <s v="  "/>
    <n v="36"/>
    <s v="קרית גת, כרמי גת"/>
    <x v="21"/>
    <d v="2014-12-10T00:00:00"/>
    <x v="2"/>
    <n v="12"/>
    <s v="ים/142/2014"/>
    <x v="1"/>
    <n v="2"/>
    <m/>
    <n v="361900"/>
  </r>
  <r>
    <x v="1594"/>
    <n v="620972"/>
    <x v="1"/>
    <s v="  "/>
    <n v="26"/>
    <s v="קרית גת, כרמי גת"/>
    <x v="21"/>
    <d v="2014-12-10T00:00:00"/>
    <x v="2"/>
    <n v="12"/>
    <s v="ים/142/2014"/>
    <x v="1"/>
    <n v="2"/>
    <m/>
    <n v="370500"/>
  </r>
  <r>
    <x v="1595"/>
    <n v="518398"/>
    <x v="1"/>
    <s v="  "/>
    <n v="547"/>
    <s v="קרית גת, כרמי גת"/>
    <x v="21"/>
    <d v="2016-12-18T00:00:00"/>
    <x v="1"/>
    <n v="12"/>
    <s v="ים/95/2016"/>
    <x v="1"/>
    <n v="1"/>
    <m/>
    <n v="373000"/>
  </r>
  <r>
    <x v="1596"/>
    <n v="645522"/>
    <x v="1"/>
    <s v="  "/>
    <n v="23"/>
    <s v="קרית גת, כרמי גת"/>
    <x v="21"/>
    <d v="2014-12-10T00:00:00"/>
    <x v="2"/>
    <n v="12"/>
    <s v="ים/142/2014"/>
    <x v="1"/>
    <n v="2"/>
    <m/>
    <n v="375026"/>
  </r>
  <r>
    <x v="1597"/>
    <n v="645522"/>
    <x v="1"/>
    <s v="  "/>
    <n v="24"/>
    <s v="קרית גת, כרמי גת"/>
    <x v="21"/>
    <d v="2014-12-10T00:00:00"/>
    <x v="2"/>
    <n v="12"/>
    <s v="ים/142/2014"/>
    <x v="1"/>
    <n v="2"/>
    <m/>
    <n v="376000"/>
  </r>
  <r>
    <x v="1598"/>
    <n v="625579"/>
    <x v="1"/>
    <s v="  "/>
    <n v="56"/>
    <s v="קרית גת, כרמי גת"/>
    <x v="21"/>
    <d v="2014-12-10T00:00:00"/>
    <x v="2"/>
    <n v="12"/>
    <s v="ים/142/2014"/>
    <x v="1"/>
    <n v="2"/>
    <m/>
    <n v="377777"/>
  </r>
  <r>
    <x v="1598"/>
    <n v="628124"/>
    <x v="1"/>
    <s v="  "/>
    <n v="45"/>
    <s v="קרית גת, כרמי גת"/>
    <x v="21"/>
    <d v="2014-12-10T00:00:00"/>
    <x v="2"/>
    <n v="12"/>
    <s v="ים/142/2014"/>
    <x v="1"/>
    <n v="2"/>
    <m/>
    <n v="377777"/>
  </r>
  <r>
    <x v="1598"/>
    <n v="706381"/>
    <x v="1"/>
    <s v="  "/>
    <n v="17"/>
    <s v="קרית גת, כרמי גת"/>
    <x v="21"/>
    <d v="2014-12-10T00:00:00"/>
    <x v="2"/>
    <n v="12"/>
    <s v="ים/142/2014"/>
    <x v="1"/>
    <n v="2"/>
    <m/>
    <n v="377777"/>
  </r>
  <r>
    <x v="1599"/>
    <n v="796960"/>
    <x v="1"/>
    <s v="  "/>
    <n v="25"/>
    <s v="קרית גת, כרמי גת"/>
    <x v="21"/>
    <d v="2014-05-04T00:00:00"/>
    <x v="2"/>
    <n v="5"/>
    <s v="ים/388/2013"/>
    <x v="1"/>
    <n v="2"/>
    <m/>
    <n v="378000"/>
  </r>
  <r>
    <x v="978"/>
    <n v="361793"/>
    <x v="1"/>
    <s v="  "/>
    <n v="74"/>
    <s v="קרית גת, כרמי גת"/>
    <x v="21"/>
    <d v="2016-01-31T00:00:00"/>
    <x v="1"/>
    <n v="1"/>
    <s v="ים/234/2015"/>
    <x v="1"/>
    <n v="1"/>
    <m/>
    <n v="380000"/>
  </r>
  <r>
    <x v="978"/>
    <n v="722921"/>
    <x v="1"/>
    <s v="  "/>
    <s v="B109 "/>
    <s v="קרית גת, כרמי גת"/>
    <x v="21"/>
    <d v="2016-05-08T00:00:00"/>
    <x v="1"/>
    <n v="5"/>
    <s v="ים/20/2016"/>
    <x v="1"/>
    <n v="1"/>
    <m/>
    <n v="380000"/>
  </r>
  <r>
    <x v="1600"/>
    <n v="324064"/>
    <x v="1"/>
    <s v="  "/>
    <n v="115"/>
    <s v="קרית גת, כרמי גת"/>
    <x v="21"/>
    <d v="2016-10-30T00:00:00"/>
    <x v="1"/>
    <n v="10"/>
    <s v="ים/90/2016"/>
    <x v="1"/>
    <n v="1"/>
    <m/>
    <n v="381196"/>
  </r>
  <r>
    <x v="1601"/>
    <n v="637339"/>
    <x v="1"/>
    <s v="  "/>
    <n v="19"/>
    <s v="קרית גת, כרמי גת"/>
    <x v="21"/>
    <d v="2014-12-10T00:00:00"/>
    <x v="2"/>
    <n v="12"/>
    <s v="ים/142/2014"/>
    <x v="1"/>
    <n v="2"/>
    <m/>
    <n v="382000"/>
  </r>
  <r>
    <x v="1602"/>
    <n v="513323"/>
    <x v="1"/>
    <s v="  "/>
    <n v="382"/>
    <s v="קרית גת, כרמי גת"/>
    <x v="21"/>
    <d v="2016-12-18T00:00:00"/>
    <x v="1"/>
    <n v="12"/>
    <s v="ים/95/2016"/>
    <x v="1"/>
    <n v="1"/>
    <m/>
    <n v="382500"/>
  </r>
  <r>
    <x v="1602"/>
    <n v="513323"/>
    <x v="1"/>
    <s v="  "/>
    <n v="383"/>
    <s v="קרית גת, כרמי גת"/>
    <x v="21"/>
    <d v="2016-12-18T00:00:00"/>
    <x v="1"/>
    <n v="12"/>
    <s v="ים/95/2016"/>
    <x v="1"/>
    <n v="1"/>
    <m/>
    <n v="382500"/>
  </r>
  <r>
    <x v="1603"/>
    <n v="325202"/>
    <x v="1"/>
    <s v="  "/>
    <n v="32"/>
    <s v="קרית גת, כרמי גת"/>
    <x v="21"/>
    <d v="2016-05-03T00:00:00"/>
    <x v="1"/>
    <n v="5"/>
    <s v="ים/21/2016"/>
    <x v="1"/>
    <n v="1"/>
    <m/>
    <n v="384918"/>
  </r>
  <r>
    <x v="1604"/>
    <n v="674679"/>
    <x v="1"/>
    <s v="  "/>
    <n v="37"/>
    <s v="קרית גת, כרמי גת"/>
    <x v="21"/>
    <d v="2014-12-10T00:00:00"/>
    <x v="2"/>
    <n v="12"/>
    <s v="ים/142/2014"/>
    <x v="1"/>
    <n v="2"/>
    <m/>
    <n v="385000"/>
  </r>
  <r>
    <x v="1605"/>
    <n v="619940"/>
    <x v="1"/>
    <s v="  "/>
    <n v="68"/>
    <s v="קרית גת, כרמי גת"/>
    <x v="21"/>
    <d v="2014-12-10T00:00:00"/>
    <x v="2"/>
    <n v="12"/>
    <s v="ים/142/2014"/>
    <x v="1"/>
    <n v="2"/>
    <m/>
    <n v="389000"/>
  </r>
  <r>
    <x v="1606"/>
    <n v="366934"/>
    <x v="1"/>
    <s v="  "/>
    <n v="140"/>
    <s v="קרית גת, כרמי גת"/>
    <x v="21"/>
    <d v="2016-01-31T00:00:00"/>
    <x v="1"/>
    <n v="1"/>
    <s v="ים/234/2015"/>
    <x v="1"/>
    <n v="1"/>
    <m/>
    <n v="389389"/>
  </r>
  <r>
    <x v="1607"/>
    <n v="620972"/>
    <x v="1"/>
    <s v="  "/>
    <n v="27"/>
    <s v="קרית גת, כרמי גת"/>
    <x v="21"/>
    <d v="2014-12-10T00:00:00"/>
    <x v="2"/>
    <n v="12"/>
    <s v="ים/142/2014"/>
    <x v="1"/>
    <n v="2"/>
    <m/>
    <n v="390000"/>
  </r>
  <r>
    <x v="1608"/>
    <n v="325202"/>
    <x v="1"/>
    <s v="  "/>
    <s v="A13 "/>
    <s v="קרית גת, כרמי גת"/>
    <x v="21"/>
    <d v="2016-05-03T00:00:00"/>
    <x v="1"/>
    <n v="5"/>
    <s v="ים/21/2016"/>
    <x v="1"/>
    <n v="1"/>
    <m/>
    <n v="390391"/>
  </r>
  <r>
    <x v="1609"/>
    <n v="536592"/>
    <x v="1"/>
    <s v="  "/>
    <n v="557"/>
    <s v="קרית גת, כרמי גת"/>
    <x v="21"/>
    <d v="2016-12-18T00:00:00"/>
    <x v="1"/>
    <n v="12"/>
    <s v="ים/95/2016"/>
    <x v="1"/>
    <n v="1"/>
    <m/>
    <n v="396074"/>
  </r>
  <r>
    <x v="1610"/>
    <n v="513323"/>
    <x v="1"/>
    <s v="  "/>
    <n v="385"/>
    <s v="קרית גת, כרמי גת"/>
    <x v="21"/>
    <d v="2016-12-18T00:00:00"/>
    <x v="1"/>
    <n v="12"/>
    <s v="ים/95/2016"/>
    <x v="1"/>
    <n v="1"/>
    <m/>
    <n v="398700"/>
  </r>
  <r>
    <x v="1611"/>
    <n v="515889"/>
    <x v="1"/>
    <s v="  "/>
    <n v="562"/>
    <s v="קרית גת, כרמי גת"/>
    <x v="21"/>
    <d v="2016-12-18T00:00:00"/>
    <x v="1"/>
    <n v="12"/>
    <s v="ים/95/2016"/>
    <x v="1"/>
    <n v="1"/>
    <m/>
    <n v="399850"/>
  </r>
  <r>
    <x v="1612"/>
    <n v="441357"/>
    <x v="1"/>
    <s v="  "/>
    <s v="B375 "/>
    <s v="קרית גת, כרמי גת"/>
    <x v="21"/>
    <d v="2016-12-18T00:00:00"/>
    <x v="1"/>
    <n v="12"/>
    <s v="ים/95/2016"/>
    <x v="1"/>
    <n v="1"/>
    <m/>
    <n v="400000"/>
  </r>
  <r>
    <x v="1613"/>
    <n v="552620"/>
    <x v="1"/>
    <s v="  "/>
    <n v="548"/>
    <s v="קרית גת, כרמי גת"/>
    <x v="21"/>
    <d v="2016-12-18T00:00:00"/>
    <x v="1"/>
    <n v="12"/>
    <s v="ים/95/2016"/>
    <x v="1"/>
    <n v="1"/>
    <m/>
    <n v="403063"/>
  </r>
  <r>
    <x v="1614"/>
    <n v="615333"/>
    <x v="1"/>
    <s v="  "/>
    <n v="53"/>
    <s v="קרית גת, כרמי גת"/>
    <x v="21"/>
    <d v="2014-12-10T00:00:00"/>
    <x v="2"/>
    <n v="12"/>
    <s v="ים/142/2014"/>
    <x v="1"/>
    <n v="2"/>
    <m/>
    <n v="405555"/>
  </r>
  <r>
    <x v="1615"/>
    <n v="675112"/>
    <x v="1"/>
    <s v="  "/>
    <n v="34"/>
    <s v="קרית גת, כרמי גת"/>
    <x v="21"/>
    <d v="2014-12-10T00:00:00"/>
    <x v="2"/>
    <n v="12"/>
    <s v="ים/142/2014"/>
    <x v="1"/>
    <n v="2"/>
    <m/>
    <n v="405752"/>
  </r>
  <r>
    <x v="1616"/>
    <n v="763885"/>
    <x v="1"/>
    <s v="  "/>
    <n v="42"/>
    <s v="קרית גת, כרמי גת"/>
    <x v="21"/>
    <d v="2014-05-04T00:00:00"/>
    <x v="2"/>
    <n v="5"/>
    <s v="ים/388/2013"/>
    <x v="1"/>
    <n v="2"/>
    <m/>
    <n v="407770"/>
  </r>
  <r>
    <x v="1617"/>
    <n v="515889"/>
    <x v="1"/>
    <s v="  "/>
    <n v="563"/>
    <s v="קרית גת, כרמי גת"/>
    <x v="21"/>
    <d v="2016-12-18T00:00:00"/>
    <x v="1"/>
    <n v="12"/>
    <s v="ים/95/2016"/>
    <x v="1"/>
    <n v="1"/>
    <m/>
    <n v="409550"/>
  </r>
  <r>
    <x v="1618"/>
    <n v="513323"/>
    <x v="1"/>
    <s v="  "/>
    <n v="391"/>
    <s v="קרית גת, כרמי גת"/>
    <x v="21"/>
    <d v="2016-12-18T00:00:00"/>
    <x v="1"/>
    <n v="12"/>
    <s v="ים/95/2016"/>
    <x v="1"/>
    <n v="1"/>
    <m/>
    <n v="415560"/>
  </r>
  <r>
    <x v="1619"/>
    <n v="765723"/>
    <x v="1"/>
    <s v="  "/>
    <n v="44"/>
    <s v="קרית גת, כרמי גת"/>
    <x v="21"/>
    <d v="2014-05-04T00:00:00"/>
    <x v="2"/>
    <n v="5"/>
    <s v="ים/388/2013"/>
    <x v="1"/>
    <n v="2"/>
    <m/>
    <n v="420000"/>
  </r>
  <r>
    <x v="1620"/>
    <n v="525423"/>
    <x v="1"/>
    <s v="  "/>
    <n v="381"/>
    <s v="קרית גת, כרמי גת"/>
    <x v="21"/>
    <d v="2016-12-18T00:00:00"/>
    <x v="1"/>
    <n v="12"/>
    <s v="ים/95/2016"/>
    <x v="1"/>
    <n v="1"/>
    <m/>
    <n v="422555"/>
  </r>
  <r>
    <x v="986"/>
    <n v="761508"/>
    <x v="1"/>
    <s v="  "/>
    <n v="59"/>
    <s v="קרית גת, כרמי גת"/>
    <x v="21"/>
    <d v="2014-05-04T00:00:00"/>
    <x v="2"/>
    <n v="5"/>
    <s v="ים/388/2013"/>
    <x v="1"/>
    <n v="2"/>
    <m/>
    <n v="423000"/>
  </r>
  <r>
    <x v="1621"/>
    <n v="365703"/>
    <x v="1"/>
    <s v="  "/>
    <n v="144"/>
    <s v="קרית גת, כרמי גת"/>
    <x v="21"/>
    <d v="2016-01-31T00:00:00"/>
    <x v="1"/>
    <n v="1"/>
    <s v="ים/234/2015"/>
    <x v="1"/>
    <n v="1"/>
    <m/>
    <n v="428018"/>
  </r>
  <r>
    <x v="1622"/>
    <n v="674679"/>
    <x v="1"/>
    <s v="  "/>
    <n v="35"/>
    <s v="קרית גת, כרמי גת"/>
    <x v="21"/>
    <d v="2014-12-10T00:00:00"/>
    <x v="2"/>
    <n v="12"/>
    <s v="ים/142/2014"/>
    <x v="1"/>
    <n v="2"/>
    <m/>
    <n v="432230"/>
  </r>
  <r>
    <x v="1623"/>
    <n v="763885"/>
    <x v="1"/>
    <s v="  "/>
    <n v="43"/>
    <s v="קרית גת, כרמי גת"/>
    <x v="21"/>
    <d v="2014-05-04T00:00:00"/>
    <x v="2"/>
    <n v="5"/>
    <s v="ים/388/2013"/>
    <x v="1"/>
    <n v="2"/>
    <m/>
    <n v="436733"/>
  </r>
  <r>
    <x v="1624"/>
    <n v="619940"/>
    <x v="1"/>
    <s v="  "/>
    <n v="57"/>
    <s v="קרית גת, כרמי גת"/>
    <x v="21"/>
    <d v="2014-12-10T00:00:00"/>
    <x v="2"/>
    <n v="12"/>
    <s v="ים/142/2014"/>
    <x v="1"/>
    <n v="2"/>
    <m/>
    <n v="444444"/>
  </r>
  <r>
    <x v="1625"/>
    <n v="7455771"/>
    <x v="0"/>
    <s v="  "/>
    <n v="22083"/>
    <s v="קרית גת, רובע הפרחים"/>
    <x v="21"/>
    <d v="2013-06-26T00:00:00"/>
    <x v="4"/>
    <n v="6"/>
    <s v="ים/56/2013"/>
    <x v="2"/>
    <n v="64"/>
    <n v="4829"/>
    <n v="444445"/>
  </r>
  <r>
    <x v="1626"/>
    <n v="383624"/>
    <x v="1"/>
    <s v="  "/>
    <s v="B173 "/>
    <s v="קרית גת, כרמי גת"/>
    <x v="21"/>
    <d v="2015-06-14T00:00:00"/>
    <x v="3"/>
    <n v="6"/>
    <s v="ים/364/2014"/>
    <x v="1"/>
    <n v="1"/>
    <m/>
    <n v="450000"/>
  </r>
  <r>
    <x v="1627"/>
    <n v="674679"/>
    <x v="1"/>
    <s v="  "/>
    <n v="38"/>
    <s v="קרית גת, כרמי גת"/>
    <x v="21"/>
    <d v="2014-12-10T00:00:00"/>
    <x v="2"/>
    <n v="12"/>
    <s v="ים/142/2014"/>
    <x v="1"/>
    <n v="2"/>
    <m/>
    <n v="451100"/>
  </r>
  <r>
    <x v="1628"/>
    <n v="559723"/>
    <x v="1"/>
    <s v="  "/>
    <n v="541"/>
    <s v="קרית גת, כרמי גת"/>
    <x v="21"/>
    <d v="2016-12-18T00:00:00"/>
    <x v="1"/>
    <n v="12"/>
    <s v="ים/95/2016"/>
    <x v="1"/>
    <n v="1"/>
    <m/>
    <n v="477000"/>
  </r>
  <r>
    <x v="1629"/>
    <n v="264850"/>
    <x v="1"/>
    <s v="  "/>
    <n v="15"/>
    <s v="קרית גת, כרמי גת"/>
    <x v="21"/>
    <d v="2016-12-27T00:00:00"/>
    <x v="1"/>
    <n v="12"/>
    <s v="ים/197/2016"/>
    <x v="1"/>
    <n v="1"/>
    <m/>
    <n v="477770"/>
  </r>
  <r>
    <x v="1630"/>
    <n v="264850"/>
    <x v="1"/>
    <s v="  "/>
    <s v="A15 "/>
    <s v="קרית גת, כרמי גת"/>
    <x v="21"/>
    <d v="2016-12-27T00:00:00"/>
    <x v="1"/>
    <n v="12"/>
    <s v="ים/197/2016"/>
    <x v="1"/>
    <n v="1"/>
    <m/>
    <n v="480770"/>
  </r>
  <r>
    <x v="1631"/>
    <n v="424567"/>
    <x v="1"/>
    <s v="  "/>
    <n v="5"/>
    <s v="קרית גת, כרמי גת"/>
    <x v="21"/>
    <d v="2016-05-03T00:00:00"/>
    <x v="1"/>
    <n v="5"/>
    <s v="ים/21/2016"/>
    <x v="1"/>
    <n v="1"/>
    <m/>
    <n v="501370"/>
  </r>
  <r>
    <x v="1632"/>
    <n v="647585"/>
    <x v="1"/>
    <s v="  "/>
    <n v="31"/>
    <s v="קרית גת, כרמי גת"/>
    <x v="21"/>
    <d v="2014-12-10T00:00:00"/>
    <x v="2"/>
    <n v="12"/>
    <s v="ים/142/2014"/>
    <x v="1"/>
    <n v="2"/>
    <m/>
    <n v="517000"/>
  </r>
  <r>
    <x v="1633"/>
    <n v="423913"/>
    <x v="1"/>
    <s v="  "/>
    <s v="B530 "/>
    <s v="קרית גת, כרמי גת"/>
    <x v="21"/>
    <d v="2016-12-18T00:00:00"/>
    <x v="1"/>
    <n v="12"/>
    <s v="ים/95/2016"/>
    <x v="1"/>
    <n v="1"/>
    <m/>
    <n v="551000"/>
  </r>
  <r>
    <x v="1634"/>
    <n v="324064"/>
    <x v="1"/>
    <s v="  "/>
    <n v="115"/>
    <s v="קרית גת, כרמי גת"/>
    <x v="21"/>
    <d v="2016-01-31T00:00:00"/>
    <x v="1"/>
    <n v="1"/>
    <s v="ים/234/2015"/>
    <x v="1"/>
    <n v="1"/>
    <m/>
    <n v="553000"/>
  </r>
  <r>
    <x v="42"/>
    <n v="430511"/>
    <x v="1"/>
    <s v="  "/>
    <s v="A272 "/>
    <s v="קרית גת, כרמי גת"/>
    <x v="21"/>
    <d v="2016-12-18T00:00:00"/>
    <x v="1"/>
    <n v="12"/>
    <s v="ים/95/2016"/>
    <x v="1"/>
    <n v="1"/>
    <m/>
    <n v="600000"/>
  </r>
  <r>
    <x v="42"/>
    <n v="521889"/>
    <x v="1"/>
    <s v="  "/>
    <n v="561"/>
    <s v="קרית גת, כרמי גת"/>
    <x v="21"/>
    <d v="2016-12-18T00:00:00"/>
    <x v="1"/>
    <n v="12"/>
    <s v="ים/95/2016"/>
    <x v="1"/>
    <n v="1"/>
    <m/>
    <n v="600000"/>
  </r>
  <r>
    <x v="1635"/>
    <n v="7743435"/>
    <x v="0"/>
    <s v="  "/>
    <n v="22086"/>
    <s v="קרית גת, רובע הפרחים"/>
    <x v="21"/>
    <d v="2013-06-26T00:00:00"/>
    <x v="4"/>
    <n v="6"/>
    <s v="ים/56/2013"/>
    <x v="2"/>
    <n v="64"/>
    <n v="5278"/>
    <n v="629000"/>
  </r>
  <r>
    <x v="1035"/>
    <n v="513323"/>
    <x v="1"/>
    <s v="  "/>
    <n v="397"/>
    <s v="קרית גת, כרמי גת"/>
    <x v="21"/>
    <d v="2016-12-18T00:00:00"/>
    <x v="1"/>
    <n v="12"/>
    <s v="ים/95/2016"/>
    <x v="1"/>
    <n v="1"/>
    <m/>
    <n v="650000"/>
  </r>
  <r>
    <x v="1035"/>
    <n v="513323"/>
    <x v="1"/>
    <s v="  "/>
    <n v="485"/>
    <s v="קרית גת, כרמי גת"/>
    <x v="21"/>
    <d v="2016-12-18T00:00:00"/>
    <x v="1"/>
    <n v="12"/>
    <s v="ים/95/2016"/>
    <x v="1"/>
    <n v="1"/>
    <m/>
    <n v="650000"/>
  </r>
  <r>
    <x v="1636"/>
    <n v="518440"/>
    <x v="1"/>
    <s v="  "/>
    <n v="507"/>
    <s v="קרית גת, כרמי גת"/>
    <x v="21"/>
    <d v="2016-12-18T00:00:00"/>
    <x v="1"/>
    <n v="12"/>
    <s v="ים/95/2016"/>
    <x v="1"/>
    <n v="1"/>
    <m/>
    <n v="665000"/>
  </r>
  <r>
    <x v="1637"/>
    <n v="600338"/>
    <x v="1"/>
    <s v="  "/>
    <n v="55"/>
    <s v="קרית גת, כרמי גת"/>
    <x v="21"/>
    <d v="2016-01-31T00:00:00"/>
    <x v="1"/>
    <n v="1"/>
    <s v="ים/234/2015"/>
    <x v="1"/>
    <n v="2"/>
    <m/>
    <n v="707777"/>
  </r>
  <r>
    <x v="1638"/>
    <n v="6199771"/>
    <x v="0"/>
    <s v="  "/>
    <n v="22082"/>
    <s v="קרית גת, רובע הפרחים"/>
    <x v="21"/>
    <d v="2013-06-26T00:00:00"/>
    <x v="4"/>
    <n v="6"/>
    <s v="ים/56/2013"/>
    <x v="2"/>
    <n v="60"/>
    <n v="3233"/>
    <n v="717717"/>
  </r>
  <r>
    <x v="1639"/>
    <n v="3768368"/>
    <x v="0"/>
    <s v="  "/>
    <n v="18632"/>
    <s v="קרית גת, גוגנהים"/>
    <x v="21"/>
    <d v="2014-12-07T00:00:00"/>
    <x v="2"/>
    <n v="12"/>
    <s v="ים/154/2014"/>
    <x v="2"/>
    <n v="12"/>
    <n v="3733"/>
    <n v="1077777"/>
  </r>
  <r>
    <x v="1640"/>
    <n v="4691792"/>
    <x v="3"/>
    <s v="  "/>
    <s v="23א "/>
    <s v="קרית גת, אזור תעשיה"/>
    <x v="21"/>
    <d v="2013-07-03T00:00:00"/>
    <x v="4"/>
    <n v="7"/>
    <s v="ים/55/2013"/>
    <x v="2"/>
    <m/>
    <n v="21645"/>
    <n v="1558440"/>
  </r>
  <r>
    <x v="1641"/>
    <n v="3620530"/>
    <x v="0"/>
    <s v="  "/>
    <n v="22091"/>
    <s v="קרית גת, רובע הפרחים"/>
    <x v="21"/>
    <d v="2014-03-02T00:00:00"/>
    <x v="2"/>
    <n v="3"/>
    <s v="ים/321/2013"/>
    <x v="2"/>
    <n v="26"/>
    <n v="2241"/>
    <n v="2007540"/>
  </r>
  <r>
    <x v="1642"/>
    <n v="3315099"/>
    <x v="0"/>
    <s v="  "/>
    <n v="22091"/>
    <s v="קרית גת, רובע הפרחים"/>
    <x v="21"/>
    <d v="2013-06-26T00:00:00"/>
    <x v="4"/>
    <n v="6"/>
    <s v="ים/56/2013"/>
    <x v="2"/>
    <n v="26"/>
    <n v="2241"/>
    <n v="4295486"/>
  </r>
  <r>
    <x v="1643"/>
    <n v="3564720"/>
    <x v="3"/>
    <s v="  "/>
    <n v="600"/>
    <s v="קרית גת, אזור תעשיה"/>
    <x v="21"/>
    <d v="2013-01-02T00:00:00"/>
    <x v="4"/>
    <n v="1"/>
    <s v="ים/255/2012"/>
    <x v="2"/>
    <m/>
    <n v="16798"/>
    <n v="4600000"/>
  </r>
  <r>
    <x v="1644"/>
    <n v="56199789"/>
    <x v="0"/>
    <s v="  "/>
    <s v="ב"/>
    <s v="קרית גת, כרמי גת"/>
    <x v="21"/>
    <d v="2015-11-04T00:00:00"/>
    <x v="3"/>
    <n v="11"/>
    <s v="ים/363/2014"/>
    <x v="1"/>
    <n v="328"/>
    <n v="32642"/>
    <n v="7854018"/>
  </r>
  <r>
    <x v="1645"/>
    <n v="31021479"/>
    <x v="0"/>
    <s v="  "/>
    <s v="ד"/>
    <s v="קרית גת, כרמי גת"/>
    <x v="21"/>
    <d v="2014-11-11T00:00:00"/>
    <x v="2"/>
    <n v="11"/>
    <s v="ים/160/2014"/>
    <x v="1"/>
    <n v="366"/>
    <n v="16709"/>
    <n v="10555555"/>
  </r>
  <r>
    <x v="1646"/>
    <n v="24140246"/>
    <x v="0"/>
    <s v="  "/>
    <s v="ה"/>
    <s v="קרית גת, כרמי גת"/>
    <x v="21"/>
    <d v="2014-11-11T00:00:00"/>
    <x v="2"/>
    <n v="11"/>
    <s v="ים/160/2014"/>
    <x v="1"/>
    <n v="237"/>
    <n v="18919"/>
    <n v="13166535"/>
  </r>
  <r>
    <x v="1647"/>
    <n v="7665753"/>
    <x v="2"/>
    <s v="  "/>
    <n v="300"/>
    <s v="קרית גת, כרמי גת"/>
    <x v="21"/>
    <d v="2016-05-03T00:00:00"/>
    <x v="1"/>
    <n v="5"/>
    <s v="ים/10/2016"/>
    <x v="1"/>
    <m/>
    <n v="4269"/>
    <n v="15000000"/>
  </r>
  <r>
    <x v="1648"/>
    <n v="34090991"/>
    <x v="0"/>
    <s v="  "/>
    <s v="א"/>
    <s v="קרית גת, כרמי גת"/>
    <x v="21"/>
    <d v="2014-11-11T00:00:00"/>
    <x v="2"/>
    <n v="11"/>
    <s v="ים/160/2014"/>
    <x v="1"/>
    <n v="238"/>
    <n v="32767"/>
    <n v="18000000"/>
  </r>
  <r>
    <x v="1649"/>
    <n v="30010404"/>
    <x v="0"/>
    <s v="  "/>
    <s v="ב"/>
    <s v="קרית גת, כרמי גת"/>
    <x v="21"/>
    <d v="2014-11-11T00:00:00"/>
    <x v="2"/>
    <n v="11"/>
    <s v="ים/160/2014"/>
    <x v="1"/>
    <n v="296"/>
    <n v="22906"/>
    <n v="18516280"/>
  </r>
  <r>
    <x v="1650"/>
    <n v="37339250"/>
    <x v="0"/>
    <s v="  "/>
    <s v="ג"/>
    <s v="קרית גת, כרמי גת"/>
    <x v="21"/>
    <d v="2014-11-11T00:00:00"/>
    <x v="2"/>
    <n v="11"/>
    <s v="ים/160/2014"/>
    <x v="1"/>
    <n v="362"/>
    <n v="16709"/>
    <n v="20110910"/>
  </r>
  <r>
    <x v="1651"/>
    <n v="69636221"/>
    <x v="0"/>
    <s v="  "/>
    <s v="א"/>
    <s v="קרית גת, כרמי גת"/>
    <x v="21"/>
    <d v="2015-11-04T00:00:00"/>
    <x v="3"/>
    <n v="11"/>
    <s v="ים/363/2014"/>
    <x v="1"/>
    <n v="456"/>
    <n v="49684"/>
    <n v="20318018"/>
  </r>
  <r>
    <x v="1652"/>
    <n v="35049486"/>
    <x v="0"/>
    <s v="  "/>
    <s v="ב"/>
    <s v="קרית גת, כרמי גת"/>
    <x v="21"/>
    <d v="2014-04-23T00:00:00"/>
    <x v="2"/>
    <n v="4"/>
    <s v="ים/387/2013"/>
    <x v="1"/>
    <n v="240"/>
    <n v="33304"/>
    <n v="20518118"/>
  </r>
  <r>
    <x v="1653"/>
    <n v="40887572"/>
    <x v="0"/>
    <s v="  "/>
    <s v="ג"/>
    <s v="קרית גת, כרמי גת"/>
    <x v="21"/>
    <d v="2015-11-04T00:00:00"/>
    <x v="3"/>
    <n v="11"/>
    <s v="ים/363/2014"/>
    <x v="1"/>
    <n v="285"/>
    <n v="27795"/>
    <n v="21555555"/>
  </r>
  <r>
    <x v="1654"/>
    <n v="65653611"/>
    <x v="0"/>
    <s v="  "/>
    <n v="42153"/>
    <s v="קרית גת, רובע בני ישראל"/>
    <x v="21"/>
    <d v="2017-01-22T00:00:00"/>
    <x v="0"/>
    <n v="1"/>
    <s v="ים/160/2016"/>
    <x v="2"/>
    <n v="490"/>
    <n v="39472"/>
    <n v="26077888"/>
  </r>
  <r>
    <x v="1655"/>
    <n v="52036274"/>
    <x v="0"/>
    <s v="  "/>
    <s v="א"/>
    <s v="קרית גת, כרמי גת"/>
    <x v="21"/>
    <d v="2014-04-23T00:00:00"/>
    <x v="2"/>
    <n v="4"/>
    <s v="ים/387/2013"/>
    <x v="1"/>
    <n v="330"/>
    <n v="48330"/>
    <n v="26441018"/>
  </r>
  <r>
    <x v="1656"/>
    <n v="51301540"/>
    <x v="0"/>
    <s v="  "/>
    <s v="ד"/>
    <s v="קרית גת, כרמי גת"/>
    <x v="21"/>
    <d v="2015-11-04T00:00:00"/>
    <x v="3"/>
    <n v="11"/>
    <s v="ים/363/2014"/>
    <x v="1"/>
    <n v="402"/>
    <n v="61027"/>
    <n v="72410018"/>
  </r>
  <r>
    <x v="1657"/>
    <n v="379454"/>
    <x v="1"/>
    <s v="  "/>
    <s v="A120"/>
    <s v="קרית גת, כרמי גת"/>
    <x v="21"/>
    <d v="2017-05-16T00:00:00"/>
    <x v="0"/>
    <n v="5"/>
    <s v="ים/11/2017"/>
    <x v="3"/>
    <m/>
    <m/>
    <n v="255555"/>
  </r>
  <r>
    <x v="1658"/>
    <n v="379454"/>
    <x v="1"/>
    <s v="  "/>
    <s v="B120"/>
    <s v="קרית גת, כרמי גת"/>
    <x v="21"/>
    <d v="2017-05-16T00:00:00"/>
    <x v="0"/>
    <n v="5"/>
    <s v="ים/11/2017"/>
    <x v="3"/>
    <m/>
    <m/>
    <n v="301111"/>
  </r>
  <r>
    <x v="1659"/>
    <n v="379454"/>
    <x v="1"/>
    <s v="  "/>
    <s v="A121"/>
    <s v="קרית גת, כרמי גת"/>
    <x v="21"/>
    <d v="2017-05-16T00:00:00"/>
    <x v="0"/>
    <n v="5"/>
    <s v="ים/11/2017"/>
    <x v="3"/>
    <m/>
    <m/>
    <n v="318000"/>
  </r>
  <r>
    <x v="1660"/>
    <n v="379454"/>
    <x v="1"/>
    <s v="  "/>
    <s v="B121"/>
    <s v="קרית גת, כרמי גת"/>
    <x v="21"/>
    <d v="2017-05-16T00:00:00"/>
    <x v="0"/>
    <n v="5"/>
    <s v="ים/11/2017"/>
    <x v="3"/>
    <m/>
    <m/>
    <n v="290000"/>
  </r>
  <r>
    <x v="1661"/>
    <n v="379454"/>
    <x v="1"/>
    <s v="  "/>
    <s v="A122"/>
    <s v="קרית גת, כרמי גת"/>
    <x v="21"/>
    <d v="2017-05-16T00:00:00"/>
    <x v="0"/>
    <n v="5"/>
    <s v="ים/11/2017"/>
    <x v="3"/>
    <m/>
    <m/>
    <n v="242800"/>
  </r>
  <r>
    <x v="1662"/>
    <n v="379454"/>
    <x v="1"/>
    <s v="  "/>
    <s v="B122"/>
    <s v="קרית גת, כרמי גת"/>
    <x v="21"/>
    <d v="2017-05-16T00:00:00"/>
    <x v="0"/>
    <n v="5"/>
    <s v="ים/11/2017"/>
    <x v="3"/>
    <m/>
    <m/>
    <n v="294338"/>
  </r>
  <r>
    <x v="1663"/>
    <n v="400594"/>
    <x v="1"/>
    <s v="  "/>
    <s v="A151"/>
    <s v="קרית גת, כרמי גת"/>
    <x v="21"/>
    <d v="2017-05-16T00:00:00"/>
    <x v="0"/>
    <n v="5"/>
    <s v="ים/11/2017"/>
    <x v="3"/>
    <m/>
    <m/>
    <n v="351000"/>
  </r>
  <r>
    <x v="971"/>
    <n v="400594"/>
    <x v="1"/>
    <s v="  "/>
    <s v="B151"/>
    <s v="קרית גת, כרמי גת"/>
    <x v="21"/>
    <d v="2017-05-16T00:00:00"/>
    <x v="0"/>
    <n v="5"/>
    <s v="ים/11/2017"/>
    <x v="3"/>
    <m/>
    <m/>
    <n v="333000"/>
  </r>
  <r>
    <x v="1664"/>
    <n v="400594"/>
    <x v="1"/>
    <s v="  "/>
    <s v="A166"/>
    <s v="קרית גת, כרמי גת"/>
    <x v="21"/>
    <d v="2017-05-16T00:00:00"/>
    <x v="0"/>
    <n v="5"/>
    <s v="ים/11/2017"/>
    <x v="3"/>
    <m/>
    <m/>
    <n v="284000"/>
  </r>
  <r>
    <x v="1665"/>
    <n v="400594"/>
    <x v="1"/>
    <s v="  "/>
    <s v="B166"/>
    <s v="קרית גת, כרמי גת"/>
    <x v="21"/>
    <d v="2017-05-16T00:00:00"/>
    <x v="0"/>
    <n v="5"/>
    <s v="ים/11/2017"/>
    <x v="3"/>
    <m/>
    <m/>
    <n v="302555"/>
  </r>
  <r>
    <x v="1666"/>
    <n v="400568"/>
    <x v="1"/>
    <s v="  "/>
    <s v="B167"/>
    <s v="קרית גת, כרמי גת"/>
    <x v="21"/>
    <d v="2017-05-16T00:00:00"/>
    <x v="0"/>
    <n v="5"/>
    <s v="ים/11/2017"/>
    <x v="3"/>
    <m/>
    <m/>
    <n v="254648"/>
  </r>
  <r>
    <x v="1590"/>
    <n v="596919"/>
    <x v="1"/>
    <s v="  "/>
    <n v="106"/>
    <s v="קרית גת, כרמי גת"/>
    <x v="21"/>
    <d v="2017-05-16T00:00:00"/>
    <x v="0"/>
    <n v="5"/>
    <s v="ים/11/2017"/>
    <x v="3"/>
    <m/>
    <m/>
    <n v="360000"/>
  </r>
  <r>
    <x v="1667"/>
    <n v="527723"/>
    <x v="1"/>
    <s v="  "/>
    <n v="127"/>
    <s v="קרית גת, כרמי גת"/>
    <x v="21"/>
    <d v="2017-05-16T00:00:00"/>
    <x v="0"/>
    <n v="5"/>
    <s v="ים/11/2017"/>
    <x v="3"/>
    <m/>
    <m/>
    <n v="367899"/>
  </r>
  <r>
    <x v="1668"/>
    <n v="644263"/>
    <x v="1"/>
    <s v="  "/>
    <n v="154"/>
    <s v="קרית גת, כרמי גת"/>
    <x v="21"/>
    <d v="2017-05-16T00:00:00"/>
    <x v="0"/>
    <n v="5"/>
    <s v="ים/11/2017"/>
    <x v="3"/>
    <m/>
    <m/>
    <n v="357428"/>
  </r>
  <r>
    <x v="1669"/>
    <n v="1445649"/>
    <x v="0"/>
    <s v="  "/>
    <n v="41424"/>
    <s v="קרית שמונה, יובלים"/>
    <x v="22"/>
    <d v="2017-04-23T00:00:00"/>
    <x v="0"/>
    <n v="4"/>
    <s v="צפ/241/2016"/>
    <x v="0"/>
    <m/>
    <m/>
    <n v="1855555"/>
  </r>
  <r>
    <x v="1670"/>
    <n v="2445843"/>
    <x v="0"/>
    <s v="  "/>
    <n v="41451"/>
    <s v="קרית שמונה, יובלים"/>
    <x v="22"/>
    <d v="2017-04-23T00:00:00"/>
    <x v="0"/>
    <n v="4"/>
    <s v="צפ/241/2016"/>
    <x v="0"/>
    <m/>
    <m/>
    <n v="3785555"/>
  </r>
  <r>
    <x v="1671"/>
    <n v="3086306"/>
    <x v="0"/>
    <s v="  "/>
    <n v="45087"/>
    <s v="קרית שמונה, יובלים"/>
    <x v="22"/>
    <d v="2017-04-23T00:00:00"/>
    <x v="0"/>
    <n v="4"/>
    <s v="צפ/241/2016"/>
    <x v="0"/>
    <m/>
    <m/>
    <n v="355556"/>
  </r>
  <r>
    <x v="1672"/>
    <n v="2740976"/>
    <x v="0"/>
    <s v="  "/>
    <n v="45088"/>
    <s v="קרית שמונה, יובלים"/>
    <x v="22"/>
    <d v="2017-04-23T00:00:00"/>
    <x v="0"/>
    <n v="4"/>
    <s v="צפ/241/2016"/>
    <x v="0"/>
    <m/>
    <m/>
    <n v="1665045"/>
  </r>
  <r>
    <x v="1142"/>
    <n v="8677382"/>
    <x v="0"/>
    <s v="מחיר למשתכן"/>
    <n v="31"/>
    <s v="ראשון לציון, הרקפות"/>
    <x v="23"/>
    <d v="2017-03-06T00:00:00"/>
    <x v="0"/>
    <n v="3"/>
    <s v="מר/353/2016"/>
    <x v="1"/>
    <n v="60"/>
    <n v="5339.9273846153847"/>
    <n v="8700000"/>
  </r>
  <r>
    <x v="1673"/>
    <n v="12806559"/>
    <x v="0"/>
    <s v="מחיר למשתכן"/>
    <n v="301"/>
    <s v="ראשון לציון, הרקפות"/>
    <x v="23"/>
    <d v="2015-12-14T00:00:00"/>
    <x v="3"/>
    <n v="12"/>
    <s v="מר/186/2015"/>
    <x v="1"/>
    <n v="84"/>
    <n v="8947"/>
    <n v="12715500"/>
  </r>
  <r>
    <x v="1674"/>
    <n v="15152322"/>
    <x v="0"/>
    <s v="מחיר למשתכן"/>
    <n v="307"/>
    <s v="ראשון לציון, הרקפות"/>
    <x v="23"/>
    <d v="2015-12-14T00:00:00"/>
    <x v="3"/>
    <n v="12"/>
    <s v="מר/186/2015"/>
    <x v="1"/>
    <n v="108"/>
    <n v="9198"/>
    <n v="16996500"/>
  </r>
  <r>
    <x v="1675"/>
    <n v="17798202"/>
    <x v="0"/>
    <s v="מחיר למשתכן"/>
    <n v="300"/>
    <s v="ראשון לציון, הרקפות"/>
    <x v="23"/>
    <d v="2015-12-14T00:00:00"/>
    <x v="3"/>
    <n v="12"/>
    <s v="מר/186/2015"/>
    <x v="1"/>
    <n v="120"/>
    <n v="12161"/>
    <n v="18993000"/>
  </r>
  <r>
    <x v="1676"/>
    <n v="15426226"/>
    <x v="0"/>
    <s v="מחיר למשתכן"/>
    <n v="306"/>
    <s v="ראשון לציון, הרקפות"/>
    <x v="23"/>
    <d v="2015-12-14T00:00:00"/>
    <x v="3"/>
    <n v="12"/>
    <s v="מר/186/2015"/>
    <x v="1"/>
    <n v="108"/>
    <n v="9665"/>
    <n v="18009000"/>
  </r>
  <r>
    <x v="1677"/>
    <n v="8324970"/>
    <x v="0"/>
    <s v="מחיר למשתכן"/>
    <n v="30"/>
    <s v="ראשון לציון, הרקפות"/>
    <x v="23"/>
    <d v="2017-03-06T00:00:00"/>
    <x v="0"/>
    <n v="3"/>
    <s v="מר/353/2016"/>
    <x v="1"/>
    <n v="60"/>
    <n v="4809.3414211438476"/>
    <n v="10225500"/>
  </r>
  <r>
    <x v="1678"/>
    <n v="9545634"/>
    <x v="0"/>
    <s v="מחיר למשתכן"/>
    <n v="32"/>
    <s v="ראשון לציון, הרקפות"/>
    <x v="23"/>
    <d v="2017-03-06T00:00:00"/>
    <x v="0"/>
    <n v="3"/>
    <s v="מר/353/2016"/>
    <x v="1"/>
    <n v="56"/>
    <n v="7805.0973017170891"/>
    <n v="9875600"/>
  </r>
  <r>
    <x v="1679"/>
    <n v="6952484"/>
    <x v="0"/>
    <s v="מחיר למשתכן"/>
    <n v="302"/>
    <s v="ראשון לציון, הרקפות"/>
    <x v="23"/>
    <d v="2015-12-14T00:00:00"/>
    <x v="3"/>
    <n v="12"/>
    <s v="מר/186/2015"/>
    <x v="1"/>
    <n v="48"/>
    <n v="4463"/>
    <n v="8936400"/>
  </r>
  <r>
    <x v="1680"/>
    <n v="9907053"/>
    <x v="0"/>
    <s v="מחיר למשתכן"/>
    <n v="407"/>
    <s v="ראשון לציון, הרקפות"/>
    <x v="23"/>
    <d v="2015-12-14T00:00:00"/>
    <x v="3"/>
    <n v="12"/>
    <s v="מר/186/2015"/>
    <x v="1"/>
    <n v="90"/>
    <n v="2420"/>
    <n v="18753750"/>
  </r>
  <r>
    <x v="1681"/>
    <n v="10384013"/>
    <x v="0"/>
    <s v="מחיר למשתכן"/>
    <n v="406"/>
    <s v="ראשון לציון, הרקפות"/>
    <x v="23"/>
    <d v="2016-01-04T00:00:00"/>
    <x v="1"/>
    <n v="1"/>
    <s v="מר/350/2015"/>
    <x v="1"/>
    <n v="90"/>
    <n v="3262"/>
    <n v="19084500"/>
  </r>
  <r>
    <x v="1682"/>
    <n v="9763686"/>
    <x v="0"/>
    <s v="מחיר למשתכן"/>
    <n v="404"/>
    <s v="ראשון לציון, הרקפות"/>
    <x v="23"/>
    <d v="2015-12-14T00:00:00"/>
    <x v="3"/>
    <n v="12"/>
    <s v="מר/186/2015"/>
    <x v="1"/>
    <n v="90"/>
    <n v="2145"/>
    <n v="19462500"/>
  </r>
  <r>
    <x v="1683"/>
    <n v="3474848"/>
    <x v="0"/>
    <s v="מחיר למשתכן"/>
    <n v="303"/>
    <s v="ראשון לציון, הרקפות"/>
    <x v="23"/>
    <d v="2015-12-14T00:00:00"/>
    <x v="3"/>
    <n v="12"/>
    <s v="מר/186/2015"/>
    <x v="1"/>
    <n v="24"/>
    <n v="2237"/>
    <n v="5199000"/>
  </r>
  <r>
    <x v="1684"/>
    <n v="9733005"/>
    <x v="0"/>
    <s v="מחיר למשתכן"/>
    <n v="403"/>
    <s v="ראשון לציון, הרקפות"/>
    <x v="23"/>
    <d v="2015-12-14T00:00:00"/>
    <x v="3"/>
    <n v="12"/>
    <s v="מר/186/2015"/>
    <x v="1"/>
    <n v="90"/>
    <n v="2095"/>
    <n v="19779750"/>
  </r>
  <r>
    <x v="1685"/>
    <n v="9779306"/>
    <x v="0"/>
    <s v="מחיר למשתכן"/>
    <n v="402"/>
    <s v="ראשון לציון, הרקפות"/>
    <x v="23"/>
    <d v="2015-12-14T00:00:00"/>
    <x v="3"/>
    <n v="12"/>
    <s v="מר/186/2015"/>
    <x v="1"/>
    <n v="90"/>
    <n v="2173"/>
    <n v="19786500"/>
  </r>
  <r>
    <x v="1686"/>
    <n v="9779306"/>
    <x v="0"/>
    <s v="מחיר למשתכן"/>
    <n v="401"/>
    <s v="ראשון לציון, הרקפות"/>
    <x v="23"/>
    <d v="2015-12-14T00:00:00"/>
    <x v="3"/>
    <n v="12"/>
    <s v="מר/186/2015"/>
    <x v="1"/>
    <n v="90"/>
    <n v="2173"/>
    <n v="19847250"/>
  </r>
  <r>
    <x v="1687"/>
    <n v="19728306"/>
    <x v="0"/>
    <s v="מחיר למשתכן"/>
    <s v="ב"/>
    <s v="ראשון לציון, נחלת יהודה מערב"/>
    <x v="23"/>
    <d v="2016-08-15T00:00:00"/>
    <x v="1"/>
    <n v="8"/>
    <s v="מר/51/2016"/>
    <x v="1"/>
    <n v="140"/>
    <n v="6627"/>
    <n v="45374000"/>
  </r>
  <r>
    <x v="1688"/>
    <n v="24521773"/>
    <x v="0"/>
    <s v="מחיר למשתכן"/>
    <s v="א"/>
    <s v="ראשון לציון, נחלת יהודה מערב"/>
    <x v="23"/>
    <d v="2016-08-15T00:00:00"/>
    <x v="1"/>
    <n v="8"/>
    <s v="מר/51/2016"/>
    <x v="1"/>
    <n v="174"/>
    <n v="6378"/>
    <n v="60308400"/>
  </r>
  <r>
    <x v="45"/>
    <n v="286487"/>
    <x v="1"/>
    <s v="  "/>
    <s v="156 ב "/>
    <s v="ראשון לציון, שיכון המזרח"/>
    <x v="23"/>
    <d v="2014-06-22T00:00:00"/>
    <x v="2"/>
    <n v="6"/>
    <s v="מר/19/2014"/>
    <x v="2"/>
    <n v="1"/>
    <m/>
    <n v="610000"/>
  </r>
  <r>
    <x v="1689"/>
    <n v="259600"/>
    <x v="1"/>
    <s v="  "/>
    <s v="16 ב "/>
    <s v="ראשון לציון, שיכון המזרח"/>
    <x v="23"/>
    <d v="2014-06-22T00:00:00"/>
    <x v="2"/>
    <n v="6"/>
    <s v="מר/19/2014"/>
    <x v="2"/>
    <n v="1"/>
    <m/>
    <n v="641864"/>
  </r>
  <r>
    <x v="1690"/>
    <n v="480261"/>
    <x v="1"/>
    <s v="  "/>
    <s v="ב + ג "/>
    <s v="ראשון לציון, שיכון המזרח"/>
    <x v="23"/>
    <d v="2014-06-22T00:00:00"/>
    <x v="2"/>
    <n v="6"/>
    <s v="מר/19/2014"/>
    <x v="2"/>
    <n v="2"/>
    <m/>
    <n v="877777"/>
  </r>
  <r>
    <x v="1691"/>
    <n v="481170"/>
    <x v="1"/>
    <s v="  "/>
    <s v="ב "/>
    <s v="ראשון לציון, שיכון המזרח"/>
    <x v="23"/>
    <d v="2015-02-22T00:00:00"/>
    <x v="3"/>
    <n v="2"/>
    <s v="מר/325/2014"/>
    <x v="2"/>
    <n v="2"/>
    <n v="518"/>
    <n v="1118500"/>
  </r>
  <r>
    <x v="1692"/>
    <n v="441351"/>
    <x v="1"/>
    <s v="  "/>
    <s v="110/35 "/>
    <s v="ראשון לציון, נחלת יהודה"/>
    <x v="23"/>
    <d v="2014-11-10T00:00:00"/>
    <x v="2"/>
    <n v="11"/>
    <s v="מר/250/2014"/>
    <x v="2"/>
    <n v="2"/>
    <m/>
    <n v="1796000"/>
  </r>
  <r>
    <x v="1693"/>
    <n v="441351"/>
    <x v="1"/>
    <s v="  "/>
    <s v="117/4 "/>
    <s v="ראשון לציון, נחלת יהודה"/>
    <x v="23"/>
    <d v="2014-11-10T00:00:00"/>
    <x v="2"/>
    <n v="11"/>
    <s v="מר/250/2014"/>
    <x v="2"/>
    <n v="2"/>
    <m/>
    <n v="1855559"/>
  </r>
  <r>
    <x v="1694"/>
    <n v="441351"/>
    <x v="1"/>
    <s v="  "/>
    <s v="104/91 "/>
    <s v="ראשון לציון, נחלת יהודה"/>
    <x v="23"/>
    <d v="2014-11-10T00:00:00"/>
    <x v="2"/>
    <n v="11"/>
    <s v="מר/250/2014"/>
    <x v="2"/>
    <n v="2"/>
    <m/>
    <n v="1884247"/>
  </r>
  <r>
    <x v="1695"/>
    <n v="441350"/>
    <x v="1"/>
    <s v="  "/>
    <s v="107/97 "/>
    <s v="ראשון לציון, נחלת יהודה"/>
    <x v="23"/>
    <d v="2014-11-10T00:00:00"/>
    <x v="2"/>
    <n v="11"/>
    <s v="מר/250/2014"/>
    <x v="2"/>
    <n v="2"/>
    <m/>
    <n v="1932000"/>
  </r>
  <r>
    <x v="1696"/>
    <n v="441351"/>
    <x v="1"/>
    <s v="  "/>
    <s v="103/13 "/>
    <s v="ראשון לציון, נחלת יהודה"/>
    <x v="23"/>
    <d v="2014-11-10T00:00:00"/>
    <x v="2"/>
    <n v="11"/>
    <s v="מר/250/2014"/>
    <x v="2"/>
    <n v="2"/>
    <m/>
    <n v="2082366"/>
  </r>
  <r>
    <x v="1697"/>
    <n v="441350"/>
    <x v="1"/>
    <s v="  "/>
    <s v="108/16 "/>
    <s v="ראשון לציון, נחלת יהודה"/>
    <x v="23"/>
    <d v="2014-11-10T00:00:00"/>
    <x v="2"/>
    <n v="11"/>
    <s v="מר/250/2014"/>
    <x v="2"/>
    <n v="2"/>
    <m/>
    <n v="2167584"/>
  </r>
  <r>
    <x v="1698"/>
    <n v="441351"/>
    <x v="1"/>
    <s v="  "/>
    <s v="117/89 "/>
    <s v="ראשון לציון, נחלת יהודה"/>
    <x v="23"/>
    <d v="2014-11-10T00:00:00"/>
    <x v="2"/>
    <n v="11"/>
    <s v="מר/250/2014"/>
    <x v="2"/>
    <n v="2"/>
    <m/>
    <n v="2177070"/>
  </r>
  <r>
    <x v="1699"/>
    <n v="441350"/>
    <x v="1"/>
    <s v="  "/>
    <s v="101/6 "/>
    <s v="ראשון לציון, נחלת יהודה"/>
    <x v="23"/>
    <d v="2014-11-10T00:00:00"/>
    <x v="2"/>
    <n v="11"/>
    <s v="מר/250/2014"/>
    <x v="2"/>
    <n v="2"/>
    <m/>
    <n v="2186555"/>
  </r>
  <r>
    <x v="1700"/>
    <n v="401204"/>
    <x v="1"/>
    <s v="  "/>
    <n v="159"/>
    <s v="ראשון לציון, נחלת יהודה התיכונה"/>
    <x v="23"/>
    <d v="2017-01-08T00:00:00"/>
    <x v="0"/>
    <n v="1"/>
    <s v="מר/267/2015"/>
    <x v="2"/>
    <n v="2"/>
    <m/>
    <n v="2307000"/>
  </r>
  <r>
    <x v="1701"/>
    <n v="441350"/>
    <x v="1"/>
    <s v="  "/>
    <s v="117/15 "/>
    <s v="ראשון לציון, נחלת יהודה"/>
    <x v="23"/>
    <d v="2014-11-10T00:00:00"/>
    <x v="2"/>
    <n v="11"/>
    <s v="מר/250/2014"/>
    <x v="2"/>
    <n v="2"/>
    <m/>
    <n v="2340000"/>
  </r>
  <r>
    <x v="1702"/>
    <n v="441350"/>
    <x v="1"/>
    <s v="  "/>
    <s v="110/21 "/>
    <s v="ראשון לציון, נחלת יהודה"/>
    <x v="23"/>
    <d v="2014-11-10T00:00:00"/>
    <x v="2"/>
    <n v="11"/>
    <s v="מר/250/2014"/>
    <x v="2"/>
    <n v="2"/>
    <m/>
    <n v="2353000"/>
  </r>
  <r>
    <x v="1703"/>
    <n v="441351"/>
    <x v="1"/>
    <s v="  "/>
    <s v="110/28 "/>
    <s v="ראשון לציון, נחלת יהודה"/>
    <x v="23"/>
    <d v="2014-11-10T00:00:00"/>
    <x v="2"/>
    <n v="11"/>
    <s v="מר/250/2014"/>
    <x v="2"/>
    <n v="2"/>
    <m/>
    <n v="2355556"/>
  </r>
  <r>
    <x v="1704"/>
    <n v="441351"/>
    <x v="1"/>
    <s v="  "/>
    <s v="109/33 "/>
    <s v="ראשון לציון, נחלת יהודה"/>
    <x v="23"/>
    <d v="2014-11-10T00:00:00"/>
    <x v="2"/>
    <n v="11"/>
    <s v="מר/250/2014"/>
    <x v="2"/>
    <n v="2"/>
    <m/>
    <n v="2400120"/>
  </r>
  <r>
    <x v="1705"/>
    <n v="441351"/>
    <x v="1"/>
    <s v="  "/>
    <s v="109/25 "/>
    <s v="ראשון לציון, נחלת יהודה"/>
    <x v="23"/>
    <d v="2014-11-10T00:00:00"/>
    <x v="2"/>
    <n v="11"/>
    <s v="מר/250/2014"/>
    <x v="2"/>
    <n v="2"/>
    <m/>
    <n v="2401700"/>
  </r>
  <r>
    <x v="1706"/>
    <n v="441350"/>
    <x v="1"/>
    <s v="  "/>
    <s v="103/12 "/>
    <s v="ראשון לציון, נחלת יהודה"/>
    <x v="23"/>
    <d v="2014-11-10T00:00:00"/>
    <x v="2"/>
    <n v="11"/>
    <s v="מר/250/2014"/>
    <x v="2"/>
    <n v="2"/>
    <m/>
    <n v="2411561"/>
  </r>
  <r>
    <x v="1707"/>
    <n v="401204"/>
    <x v="1"/>
    <s v="  "/>
    <n v="2"/>
    <s v="ראשון לציון, נחלת יהודה התיכונה"/>
    <x v="23"/>
    <d v="2017-01-08T00:00:00"/>
    <x v="0"/>
    <n v="1"/>
    <s v="מר/267/2015"/>
    <x v="2"/>
    <n v="2"/>
    <m/>
    <n v="2455560"/>
  </r>
  <r>
    <x v="1708"/>
    <n v="441351"/>
    <x v="1"/>
    <s v="  "/>
    <s v="109/26 "/>
    <s v="ראשון לציון, נחלת יהודה"/>
    <x v="23"/>
    <d v="2014-11-10T00:00:00"/>
    <x v="2"/>
    <n v="11"/>
    <s v="מר/250/2014"/>
    <x v="2"/>
    <n v="2"/>
    <m/>
    <n v="2471569"/>
  </r>
  <r>
    <x v="1709"/>
    <n v="441350"/>
    <x v="1"/>
    <s v="  "/>
    <s v="101/7 "/>
    <s v="ראשון לציון, נחלת יהודה"/>
    <x v="23"/>
    <d v="2014-11-10T00:00:00"/>
    <x v="2"/>
    <n v="11"/>
    <s v="מר/250/2014"/>
    <x v="2"/>
    <n v="2"/>
    <m/>
    <n v="2481907"/>
  </r>
  <r>
    <x v="1710"/>
    <n v="441351"/>
    <x v="1"/>
    <s v="  "/>
    <s v="110/27 "/>
    <s v="ראשון לציון, נחלת יהודה"/>
    <x v="23"/>
    <d v="2014-11-10T00:00:00"/>
    <x v="2"/>
    <n v="11"/>
    <s v="מר/250/2014"/>
    <x v="2"/>
    <n v="2"/>
    <m/>
    <n v="2544384"/>
  </r>
  <r>
    <x v="1711"/>
    <n v="441350"/>
    <x v="1"/>
    <s v="  "/>
    <s v="108/17 "/>
    <s v="ראשון לציון, נחלת יהודה"/>
    <x v="23"/>
    <d v="2014-11-10T00:00:00"/>
    <x v="2"/>
    <n v="11"/>
    <s v="מר/250/2014"/>
    <x v="2"/>
    <n v="2"/>
    <m/>
    <n v="2600000"/>
  </r>
  <r>
    <x v="1711"/>
    <n v="441351"/>
    <x v="1"/>
    <s v="  "/>
    <s v="110/34 "/>
    <s v="ראשון לציון, נחלת יהודה"/>
    <x v="23"/>
    <d v="2014-11-10T00:00:00"/>
    <x v="2"/>
    <n v="11"/>
    <s v="מר/250/2014"/>
    <x v="2"/>
    <n v="2"/>
    <m/>
    <n v="2600000"/>
  </r>
  <r>
    <x v="1712"/>
    <n v="441350"/>
    <x v="1"/>
    <s v="  "/>
    <s v="105/94 "/>
    <s v="ראשון לציון, נחלת יהודה"/>
    <x v="23"/>
    <d v="2014-11-10T00:00:00"/>
    <x v="2"/>
    <n v="11"/>
    <s v="מר/250/2014"/>
    <x v="2"/>
    <n v="2"/>
    <m/>
    <n v="2610000"/>
  </r>
  <r>
    <x v="1713"/>
    <n v="401203"/>
    <x v="1"/>
    <s v="  "/>
    <n v="169"/>
    <s v="ראשון לציון, נחלת יהודה התיכונה"/>
    <x v="23"/>
    <d v="2017-01-08T00:00:00"/>
    <x v="0"/>
    <n v="1"/>
    <s v="מר/267/2015"/>
    <x v="2"/>
    <n v="2"/>
    <m/>
    <n v="2620000"/>
  </r>
  <r>
    <x v="1713"/>
    <n v="441351"/>
    <x v="1"/>
    <s v="  "/>
    <s v="104/92 "/>
    <s v="ראשון לציון, נחלת יהודה"/>
    <x v="23"/>
    <d v="2014-11-10T00:00:00"/>
    <x v="2"/>
    <n v="11"/>
    <s v="מר/250/2014"/>
    <x v="2"/>
    <n v="2"/>
    <m/>
    <n v="2620000"/>
  </r>
  <r>
    <x v="1714"/>
    <n v="401204"/>
    <x v="1"/>
    <s v="  "/>
    <n v="171"/>
    <s v="ראשון לציון, נחלת יהודה התיכונה"/>
    <x v="23"/>
    <d v="2017-01-08T00:00:00"/>
    <x v="0"/>
    <n v="1"/>
    <s v="מר/267/2015"/>
    <x v="2"/>
    <n v="2"/>
    <m/>
    <n v="2650720"/>
  </r>
  <r>
    <x v="1715"/>
    <n v="441351"/>
    <x v="1"/>
    <s v="  "/>
    <s v="110/20 "/>
    <s v="ראשון לציון, נחלת יהודה"/>
    <x v="23"/>
    <d v="2014-11-10T00:00:00"/>
    <x v="2"/>
    <n v="11"/>
    <s v="מר/250/2014"/>
    <x v="2"/>
    <n v="2"/>
    <m/>
    <n v="2678128"/>
  </r>
  <r>
    <x v="1716"/>
    <n v="441350"/>
    <x v="1"/>
    <s v="  "/>
    <s v="105/95 "/>
    <s v="ראשון לציון, נחלת יהודה"/>
    <x v="23"/>
    <d v="2014-11-10T00:00:00"/>
    <x v="2"/>
    <n v="11"/>
    <s v="מר/250/2014"/>
    <x v="2"/>
    <n v="2"/>
    <m/>
    <n v="2700000"/>
  </r>
  <r>
    <x v="1717"/>
    <n v="441351"/>
    <x v="1"/>
    <s v="  "/>
    <s v="109/18 "/>
    <s v="ראשון לציון, נחלת יהודה"/>
    <x v="23"/>
    <d v="2014-11-10T00:00:00"/>
    <x v="2"/>
    <n v="11"/>
    <s v="מר/250/2014"/>
    <x v="2"/>
    <n v="2"/>
    <m/>
    <n v="2719194"/>
  </r>
  <r>
    <x v="1718"/>
    <n v="401203"/>
    <x v="1"/>
    <s v="  "/>
    <n v="170"/>
    <s v="ראשון לציון, נחלת יהודה התיכונה"/>
    <x v="23"/>
    <d v="2017-01-08T00:00:00"/>
    <x v="0"/>
    <n v="1"/>
    <s v="מר/267/2015"/>
    <x v="2"/>
    <n v="2"/>
    <m/>
    <n v="2734965"/>
  </r>
  <r>
    <x v="1719"/>
    <n v="401204"/>
    <x v="1"/>
    <s v="  "/>
    <n v="167"/>
    <s v="ראשון לציון, נחלת יהודה התיכונה"/>
    <x v="23"/>
    <d v="2017-01-08T00:00:00"/>
    <x v="0"/>
    <n v="1"/>
    <s v="מר/267/2015"/>
    <x v="2"/>
    <n v="2"/>
    <m/>
    <n v="2740000"/>
  </r>
  <r>
    <x v="1720"/>
    <n v="401204"/>
    <x v="1"/>
    <s v="  "/>
    <n v="168"/>
    <s v="ראשון לציון, נחלת יהודה התיכונה"/>
    <x v="23"/>
    <d v="2017-01-08T00:00:00"/>
    <x v="0"/>
    <n v="1"/>
    <s v="מר/267/2015"/>
    <x v="2"/>
    <n v="2"/>
    <m/>
    <n v="2760000"/>
  </r>
  <r>
    <x v="1721"/>
    <n v="441351"/>
    <x v="1"/>
    <s v="  "/>
    <s v="109/19 "/>
    <s v="ראשון לציון, נחלת יהודה"/>
    <x v="23"/>
    <d v="2014-11-10T00:00:00"/>
    <x v="2"/>
    <n v="11"/>
    <s v="מר/250/2014"/>
    <x v="2"/>
    <n v="2"/>
    <m/>
    <n v="2774000"/>
  </r>
  <r>
    <x v="1722"/>
    <n v="401204"/>
    <x v="1"/>
    <s v="  "/>
    <n v="166"/>
    <s v="ראשון לציון, נחלת יהודה התיכונה"/>
    <x v="23"/>
    <d v="2017-01-08T00:00:00"/>
    <x v="0"/>
    <n v="1"/>
    <s v="מר/267/2015"/>
    <x v="2"/>
    <n v="2"/>
    <m/>
    <n v="2905000"/>
  </r>
  <r>
    <x v="1723"/>
    <n v="401204"/>
    <x v="1"/>
    <s v="  "/>
    <n v="190"/>
    <s v="ראשון לציון, נחלת יהודה התיכונה"/>
    <x v="23"/>
    <d v="2017-01-08T00:00:00"/>
    <x v="0"/>
    <n v="1"/>
    <s v="מר/267/2015"/>
    <x v="2"/>
    <n v="2"/>
    <m/>
    <n v="2939000"/>
  </r>
  <r>
    <x v="1724"/>
    <n v="401204"/>
    <x v="1"/>
    <s v="  "/>
    <n v="189"/>
    <s v="ראשון לציון, נחלת יהודה התיכונה"/>
    <x v="23"/>
    <d v="2017-01-08T00:00:00"/>
    <x v="0"/>
    <n v="1"/>
    <s v="מר/267/2015"/>
    <x v="2"/>
    <n v="2"/>
    <m/>
    <n v="3200000"/>
  </r>
  <r>
    <x v="1725"/>
    <n v="401204"/>
    <x v="1"/>
    <s v="  "/>
    <n v="3"/>
    <s v="ראשון לציון, נחלת יהודה התיכונה"/>
    <x v="23"/>
    <d v="2017-01-08T00:00:00"/>
    <x v="0"/>
    <n v="1"/>
    <s v="מר/267/2015"/>
    <x v="2"/>
    <n v="2"/>
    <m/>
    <n v="3272000"/>
  </r>
  <r>
    <x v="1725"/>
    <n v="401204"/>
    <x v="1"/>
    <s v="  "/>
    <n v="188"/>
    <s v="ראשון לציון, נחלת יהודה התיכונה"/>
    <x v="23"/>
    <d v="2017-01-08T00:00:00"/>
    <x v="0"/>
    <n v="1"/>
    <s v="מר/267/2015"/>
    <x v="2"/>
    <n v="2"/>
    <m/>
    <n v="3272000"/>
  </r>
  <r>
    <x v="1726"/>
    <s v=""/>
    <x v="0"/>
    <s v="  "/>
    <n v="11"/>
    <s v="ראשון לציון"/>
    <x v="23"/>
    <d v="2015-03-15T00:00:00"/>
    <x v="3"/>
    <n v="3"/>
    <s v="מר/348/2014"/>
    <x v="2"/>
    <n v="11.47"/>
    <n v="5000"/>
    <n v="6885990"/>
  </r>
  <r>
    <x v="1727"/>
    <n v="1860754"/>
    <x v="0"/>
    <s v="  "/>
    <n v="8"/>
    <s v="ראשון לציון, חלום ראשון"/>
    <x v="23"/>
    <d v="2015-05-27T00:00:00"/>
    <x v="3"/>
    <n v="5"/>
    <s v="מר/31/2015"/>
    <x v="1"/>
    <n v="14"/>
    <n v="1498"/>
    <n v="9170000"/>
  </r>
  <r>
    <x v="1727"/>
    <n v="1860754"/>
    <x v="0"/>
    <s v="  "/>
    <n v="9"/>
    <s v="ראשון לציון, חלום ראשון"/>
    <x v="23"/>
    <d v="2015-05-27T00:00:00"/>
    <x v="3"/>
    <n v="5"/>
    <s v="מר/31/2015"/>
    <x v="1"/>
    <n v="14"/>
    <n v="1552"/>
    <n v="9170000"/>
  </r>
  <r>
    <x v="1728"/>
    <n v="1860754"/>
    <x v="0"/>
    <s v="  "/>
    <n v="7"/>
    <s v="ראשון לציון, חלום ראשון"/>
    <x v="23"/>
    <d v="2015-05-27T00:00:00"/>
    <x v="3"/>
    <n v="5"/>
    <s v="מר/31/2015"/>
    <x v="1"/>
    <n v="14"/>
    <n v="1509"/>
    <n v="9706186"/>
  </r>
  <r>
    <x v="1729"/>
    <n v="1860754"/>
    <x v="0"/>
    <s v="  "/>
    <n v="6"/>
    <s v="ראשון לציון, חלום ראשון"/>
    <x v="23"/>
    <d v="2015-05-27T00:00:00"/>
    <x v="3"/>
    <n v="5"/>
    <s v="מר/31/2015"/>
    <x v="1"/>
    <n v="14"/>
    <n v="1666"/>
    <n v="10164000"/>
  </r>
  <r>
    <x v="1730"/>
    <n v="2126576"/>
    <x v="0"/>
    <s v="  "/>
    <n v="2"/>
    <s v="ראשון לציון, חלום ראשון"/>
    <x v="23"/>
    <d v="2015-05-27T00:00:00"/>
    <x v="3"/>
    <n v="5"/>
    <s v="מר/31/2015"/>
    <x v="1"/>
    <n v="16"/>
    <n v="1788"/>
    <n v="11632000"/>
  </r>
  <r>
    <x v="1731"/>
    <n v="2126576"/>
    <x v="0"/>
    <s v="  "/>
    <n v="3"/>
    <s v="ראשון לציון, חלום ראשון"/>
    <x v="23"/>
    <d v="2015-05-27T00:00:00"/>
    <x v="3"/>
    <n v="5"/>
    <s v="מר/31/2015"/>
    <x v="1"/>
    <n v="16"/>
    <n v="1868"/>
    <n v="12432000"/>
  </r>
  <r>
    <x v="1262"/>
    <n v="22050726"/>
    <x v="0"/>
    <s v="  "/>
    <n v="30"/>
    <s v="ראשון לציון, הרקפות"/>
    <x v="23"/>
    <d v="2016-03-13T00:00:00"/>
    <x v="1"/>
    <n v="3"/>
    <s v="מר/283/2015"/>
    <x v="1"/>
    <n v="250"/>
    <n v="3401"/>
    <n v="26000000"/>
  </r>
  <r>
    <x v="1732"/>
    <s v=""/>
    <x v="0"/>
    <s v="  "/>
    <n v="9"/>
    <s v="ראשון לציון"/>
    <x v="23"/>
    <d v="2015-03-15T00:00:00"/>
    <x v="3"/>
    <n v="3"/>
    <s v="מר/348/2014"/>
    <x v="2"/>
    <n v="66"/>
    <n v="1550"/>
    <n v="42003990"/>
  </r>
  <r>
    <x v="0"/>
    <n v="21098691"/>
    <x v="6"/>
    <s v="  "/>
    <s v="א"/>
    <s v="ראשון לציון"/>
    <x v="23"/>
    <d v="2017-05-16T00:00:00"/>
    <x v="0"/>
    <n v="5"/>
    <s v="מר/309/2016"/>
    <x v="3"/>
    <m/>
    <m/>
    <s v="אין הצעות למתחם זה"/>
  </r>
  <r>
    <x v="1733"/>
    <n v="15714565"/>
    <x v="0"/>
    <s v="מחיר למשתכן"/>
    <n v="14"/>
    <s v="ראשון לציון, רקפות"/>
    <x v="23"/>
    <d v="2017-08-05T00:00:00"/>
    <x v="0"/>
    <n v="8"/>
    <s v="מר/40/2017"/>
    <x v="1"/>
    <n v="108"/>
    <n v="9665"/>
    <n v="17992800"/>
  </r>
  <r>
    <x v="1734"/>
    <n v="404353"/>
    <x v="1"/>
    <s v="  "/>
    <n v="177"/>
    <s v="ראשון לציון, נחלת יהודה התיכונה"/>
    <x v="23"/>
    <d v="2017-07-05T00:00:00"/>
    <x v="0"/>
    <n v="7"/>
    <s v="מר/5/2017"/>
    <x v="3"/>
    <m/>
    <m/>
    <n v="3500777"/>
  </r>
  <r>
    <x v="1735"/>
    <n v="21663706"/>
    <x v="0"/>
    <s v="מחיר למשתכן"/>
    <s v="א"/>
    <s v="ראשון לציון, נרקיסים"/>
    <x v="23"/>
    <d v="2017-04-24T00:00:00"/>
    <x v="0"/>
    <n v="4"/>
    <s v="מר/308/2016"/>
    <x v="1"/>
    <n v="144"/>
    <m/>
    <n v="36745200"/>
  </r>
  <r>
    <x v="1736"/>
    <n v="17370248"/>
    <x v="0"/>
    <s v="מחיר למשתכן"/>
    <s v="ב"/>
    <s v="ראשון לציון, נרקיסים"/>
    <x v="23"/>
    <d v="2017-04-24T00:00:00"/>
    <x v="0"/>
    <n v="4"/>
    <s v="מר/308/2016"/>
    <x v="1"/>
    <n v="118"/>
    <m/>
    <n v="25756450"/>
  </r>
  <r>
    <x v="1737"/>
    <n v="21006736"/>
    <x v="0"/>
    <s v="מחיר למשתכן"/>
    <s v="ג"/>
    <s v="ראשון לציון, נרקיסים"/>
    <x v="23"/>
    <d v="2017-04-24T00:00:00"/>
    <x v="0"/>
    <n v="4"/>
    <s v="מר/308/2016"/>
    <x v="1"/>
    <n v="144"/>
    <m/>
    <n v="29023200"/>
  </r>
  <r>
    <x v="1738"/>
    <n v="21826137"/>
    <x v="0"/>
    <s v="מחיר למשתכן"/>
    <s v="ד"/>
    <s v="ראשון לציון, נרקיסים"/>
    <x v="23"/>
    <d v="2017-04-24T00:00:00"/>
    <x v="0"/>
    <n v="4"/>
    <s v="מר/308/2016"/>
    <x v="1"/>
    <n v="144"/>
    <m/>
    <n v="31993200"/>
  </r>
  <r>
    <x v="1739"/>
    <n v="17810821"/>
    <x v="0"/>
    <s v="מחיר למשתכן"/>
    <s v="ה"/>
    <s v="ראשון לציון, נרקיסים"/>
    <x v="23"/>
    <d v="2017-04-24T00:00:00"/>
    <x v="0"/>
    <n v="4"/>
    <s v="מר/308/2016"/>
    <x v="1"/>
    <n v="120"/>
    <m/>
    <n v="30900000"/>
  </r>
  <r>
    <x v="1740"/>
    <n v="11648666"/>
    <x v="0"/>
    <s v="מחיר למשתכן"/>
    <s v="ו"/>
    <s v="ראשון לציון, נרקיסים"/>
    <x v="23"/>
    <d v="2017-04-24T00:00:00"/>
    <x v="0"/>
    <n v="4"/>
    <s v="מר/308/2016"/>
    <x v="1"/>
    <n v="72"/>
    <n v="3909"/>
    <n v="20581200"/>
  </r>
  <r>
    <x v="1741"/>
    <n v="10528465"/>
    <x v="0"/>
    <s v="מחיר למשתכן"/>
    <s v="ז"/>
    <s v="ראשון לציון, נרקיסים"/>
    <x v="23"/>
    <d v="2017-04-24T00:00:00"/>
    <x v="0"/>
    <n v="4"/>
    <s v="מר/308/2016"/>
    <x v="1"/>
    <n v="75"/>
    <n v="2520"/>
    <n v="17062500"/>
  </r>
  <r>
    <x v="1742"/>
    <n v="16526888"/>
    <x v="0"/>
    <s v="מחיר למשתכן"/>
    <s v="ח"/>
    <s v="ראשון לציון, נרקיסים"/>
    <x v="23"/>
    <d v="2017-04-24T00:00:00"/>
    <x v="0"/>
    <n v="4"/>
    <s v="מר/308/2016"/>
    <x v="1"/>
    <n v="120"/>
    <m/>
    <n v="29532000"/>
  </r>
  <r>
    <x v="1743"/>
    <n v="24606174"/>
    <x v="0"/>
    <s v="מחיר למשתכן"/>
    <s v="ט"/>
    <s v="ראשון לציון, נרקיסים"/>
    <x v="23"/>
    <d v="2017-04-24T00:00:00"/>
    <x v="0"/>
    <n v="4"/>
    <s v="מר/308/2016"/>
    <x v="1"/>
    <n v="180"/>
    <m/>
    <n v="41017500"/>
  </r>
  <r>
    <x v="1744"/>
    <n v="12935145"/>
    <x v="0"/>
    <s v="מחיר למשתכן"/>
    <s v="טו"/>
    <s v="ראשון לציון, נרקיסים"/>
    <x v="23"/>
    <d v="2017-04-24T00:00:00"/>
    <x v="0"/>
    <n v="4"/>
    <s v="מר/308/2016"/>
    <x v="1"/>
    <n v="92"/>
    <m/>
    <n v="19239500"/>
  </r>
  <r>
    <x v="1683"/>
    <n v="13385194"/>
    <x v="0"/>
    <s v="מחיר למשתכן"/>
    <s v="טז"/>
    <s v="ראשון לציון, נרקיסים"/>
    <x v="23"/>
    <d v="2017-04-24T00:00:00"/>
    <x v="0"/>
    <n v="4"/>
    <s v="מר/308/2016"/>
    <x v="1"/>
    <n v="92"/>
    <m/>
    <n v="19929500"/>
  </r>
  <r>
    <x v="1745"/>
    <n v="26868268"/>
    <x v="0"/>
    <s v="מחיר למשתכן"/>
    <s v="י"/>
    <s v="ראשון לציון, נרקיסים"/>
    <x v="23"/>
    <d v="2017-04-24T00:00:00"/>
    <x v="0"/>
    <n v="4"/>
    <s v="מר/308/2016"/>
    <x v="1"/>
    <n v="197"/>
    <m/>
    <n v="51111650"/>
  </r>
  <r>
    <x v="1746"/>
    <n v="12819350"/>
    <x v="0"/>
    <s v="מחיר למשתכן"/>
    <s v="יא"/>
    <s v="ראשון לציון, נרקיסים"/>
    <x v="23"/>
    <d v="2017-04-24T00:00:00"/>
    <x v="0"/>
    <n v="4"/>
    <s v="מר/308/2016"/>
    <x v="1"/>
    <n v="90"/>
    <n v="3203"/>
    <n v="16431750"/>
  </r>
  <r>
    <x v="1747"/>
    <n v="11034238"/>
    <x v="0"/>
    <s v="מחיר למשתכן"/>
    <s v="יב"/>
    <s v="ראשון לציון, נרקיסים"/>
    <x v="23"/>
    <d v="2017-04-24T00:00:00"/>
    <x v="0"/>
    <n v="4"/>
    <s v="מר/308/2016"/>
    <x v="1"/>
    <n v="48"/>
    <m/>
    <n v="12900000"/>
  </r>
  <r>
    <x v="1741"/>
    <n v="11289661"/>
    <x v="0"/>
    <s v="מחיר למשתכן"/>
    <s v="יג"/>
    <s v="ראשון לציון, נרקיסים"/>
    <x v="23"/>
    <d v="2017-04-24T00:00:00"/>
    <x v="0"/>
    <n v="4"/>
    <s v="מר/308/2016"/>
    <x v="1"/>
    <n v="72"/>
    <n v="3562"/>
    <n v="16380000"/>
  </r>
  <r>
    <x v="1748"/>
    <n v="18489515"/>
    <x v="0"/>
    <s v="מחיר למשתכן"/>
    <s v="יד"/>
    <s v="ראשון לציון, נרקיסים"/>
    <x v="23"/>
    <d v="2017-04-24T00:00:00"/>
    <x v="0"/>
    <n v="4"/>
    <s v="מר/308/2016"/>
    <x v="1"/>
    <n v="120"/>
    <m/>
    <n v="28110000"/>
  </r>
  <r>
    <x v="1749"/>
    <n v="23849298"/>
    <x v="0"/>
    <s v="מחיר למשתכן"/>
    <s v="יז"/>
    <s v="ראשון לציון, נרקיסים"/>
    <x v="23"/>
    <d v="2017-04-24T00:00:00"/>
    <x v="0"/>
    <n v="4"/>
    <s v="מר/308/2016"/>
    <x v="1"/>
    <n v="166"/>
    <n v="4978"/>
    <n v="35150500"/>
  </r>
  <r>
    <x v="1750"/>
    <n v="14984899"/>
    <x v="0"/>
    <s v="מחיר למשתכן"/>
    <s v="יח"/>
    <s v="ראשון לציון, נרקיסים"/>
    <x v="23"/>
    <d v="2017-04-24T00:00:00"/>
    <x v="0"/>
    <n v="4"/>
    <s v="מר/308/2016"/>
    <x v="1"/>
    <n v="98"/>
    <n v="3463"/>
    <n v="19127150"/>
  </r>
  <r>
    <x v="1751"/>
    <n v="27211218"/>
    <x v="0"/>
    <s v="מחיר למשתכן"/>
    <s v="יט"/>
    <s v="ראשון לציון, נרקיסים"/>
    <x v="23"/>
    <d v="2017-04-24T00:00:00"/>
    <x v="0"/>
    <n v="4"/>
    <s v="מר/308/2016"/>
    <x v="1"/>
    <n v="200"/>
    <n v="5376"/>
    <n v="43685000"/>
  </r>
  <r>
    <x v="1752"/>
    <n v="10550514"/>
    <x v="0"/>
    <s v="מחיר למשתכן"/>
    <s v="כ"/>
    <s v="ראשון לציון, נרקיסים"/>
    <x v="23"/>
    <d v="2017-04-24T00:00:00"/>
    <x v="0"/>
    <n v="4"/>
    <s v="מר/308/2016"/>
    <x v="1"/>
    <n v="76"/>
    <n v="1931"/>
    <n v="17141800"/>
  </r>
  <r>
    <x v="1753"/>
    <n v="14854672"/>
    <x v="0"/>
    <s v="מחיר למשתכן"/>
    <s v="כא"/>
    <s v="ראשון לציון, נרקיסים"/>
    <x v="23"/>
    <d v="2017-04-24T00:00:00"/>
    <x v="0"/>
    <n v="4"/>
    <s v="מר/308/2016"/>
    <x v="1"/>
    <n v="96"/>
    <n v="3851"/>
    <n v="21544800"/>
  </r>
  <r>
    <x v="1754"/>
    <n v="6465758"/>
    <x v="0"/>
    <s v="מחיר למשתכן"/>
    <s v="כב"/>
    <s v="ראשון לציון, נרקיסים"/>
    <x v="23"/>
    <d v="2017-04-24T00:00:00"/>
    <x v="0"/>
    <n v="4"/>
    <s v="מר/308/2016"/>
    <x v="1"/>
    <n v="46"/>
    <n v="1343"/>
    <n v="12279700"/>
  </r>
  <r>
    <x v="1755"/>
    <n v="41997176"/>
    <x v="0"/>
    <s v="מחיר למשתכן"/>
    <s v="א"/>
    <s v="רמלה"/>
    <x v="24"/>
    <d v="2016-12-26T00:00:00"/>
    <x v="1"/>
    <n v="12"/>
    <s v="מר/180/2016"/>
    <x v="1"/>
    <n v="298"/>
    <n v="10236"/>
    <n v="44483950"/>
  </r>
  <r>
    <x v="1756"/>
    <n v="39686614"/>
    <x v="0"/>
    <s v="מחיר למשתכן"/>
    <s v="ג"/>
    <s v="רמלה"/>
    <x v="24"/>
    <d v="2016-12-26T00:00:00"/>
    <x v="1"/>
    <n v="12"/>
    <s v="מר/180/2016"/>
    <x v="1"/>
    <n v="228"/>
    <n v="7667"/>
    <n v="35932800"/>
  </r>
  <r>
    <x v="1757"/>
    <n v="31973397"/>
    <x v="0"/>
    <s v="מחיר למשתכן"/>
    <s v="ב"/>
    <s v="רמלה"/>
    <x v="24"/>
    <d v="2016-12-26T00:00:00"/>
    <x v="1"/>
    <n v="12"/>
    <s v="מר/180/2016"/>
    <x v="1"/>
    <n v="274"/>
    <n v="10526"/>
    <n v="44415400"/>
  </r>
  <r>
    <x v="1758"/>
    <s v=""/>
    <x v="4"/>
    <s v="  "/>
    <n v="3"/>
    <s v="רמלה, שלמה בן יוסף מס' 10"/>
    <x v="24"/>
    <d v="2017-01-29T00:00:00"/>
    <x v="0"/>
    <n v="1"/>
    <s v="עמ/642/2016"/>
    <x v="2"/>
    <m/>
    <m/>
    <n v="517770"/>
  </r>
  <r>
    <x v="1759"/>
    <s v=""/>
    <x v="1"/>
    <s v="  "/>
    <n v="44"/>
    <s v="רמלה"/>
    <x v="24"/>
    <d v="2015-08-09T00:00:00"/>
    <x v="3"/>
    <n v="8"/>
    <s v="מר/72/2015"/>
    <x v="1"/>
    <n v="2"/>
    <n v="311"/>
    <n v="717000"/>
  </r>
  <r>
    <x v="0"/>
    <n v="21658935"/>
    <x v="0"/>
    <s v="מחיר למשתכן"/>
    <s v="ד"/>
    <s v="רמלה, מערב"/>
    <x v="24"/>
    <d v="2017-08-05T00:00:00"/>
    <x v="0"/>
    <n v="8"/>
    <s v="מר/49/2017"/>
    <x v="1"/>
    <n v="124"/>
    <n v="4723"/>
    <s v="אין הצעות למתחם זה"/>
  </r>
  <r>
    <x v="0"/>
    <n v="26347341"/>
    <x v="0"/>
    <s v="מחיר למשתכן"/>
    <s v="ה"/>
    <s v="רמלה, מערב"/>
    <x v="24"/>
    <d v="2017-08-05T00:00:00"/>
    <x v="0"/>
    <n v="8"/>
    <s v="מר/49/2017"/>
    <x v="1"/>
    <n v="160"/>
    <n v="6028"/>
    <s v="אין הצעות למתחם זה"/>
  </r>
  <r>
    <x v="0"/>
    <n v="33436021"/>
    <x v="0"/>
    <s v="מחיר למשתכן"/>
    <s v="ו"/>
    <s v="רמלה, מערב"/>
    <x v="24"/>
    <d v="2017-08-05T00:00:00"/>
    <x v="0"/>
    <n v="8"/>
    <s v="מר/49/2017"/>
    <x v="1"/>
    <n v="198"/>
    <n v="7434"/>
    <s v="אין הצעות למתחם זה"/>
  </r>
  <r>
    <x v="0"/>
    <n v="31802035"/>
    <x v="0"/>
    <s v="מחיר למשתכן"/>
    <s v="ז"/>
    <s v="רמלה, מערב"/>
    <x v="24"/>
    <d v="2017-08-05T00:00:00"/>
    <x v="0"/>
    <n v="8"/>
    <s v="מר/49/2017"/>
    <x v="1"/>
    <n v="186"/>
    <n v="6765"/>
    <s v="אין הצעות למתחם זה"/>
  </r>
  <r>
    <x v="0"/>
    <n v="21571366"/>
    <x v="0"/>
    <s v="מחיר למשתכן"/>
    <s v="ח"/>
    <s v="רמלה, מערב"/>
    <x v="24"/>
    <d v="2017-08-05T00:00:00"/>
    <x v="0"/>
    <n v="8"/>
    <s v="מר/49/2017"/>
    <x v="1"/>
    <n v="124"/>
    <n v="4641"/>
    <s v="אין הצעות למתחם זה"/>
  </r>
  <r>
    <x v="1760"/>
    <n v="15867"/>
    <x v="0"/>
    <s v="  "/>
    <n v="2009"/>
    <s v="שלומי, יערית"/>
    <x v="25"/>
    <d v="2017-04-23T00:00:00"/>
    <x v="0"/>
    <n v="4"/>
    <s v="חי/219/2016"/>
    <x v="0"/>
    <m/>
    <m/>
    <n v="6011111"/>
  </r>
  <r>
    <x v="1761"/>
    <n v="28048203"/>
    <x v="0"/>
    <s v="מחיר למשתכן"/>
    <n v="42979"/>
    <s v="ראש העין"/>
    <x v="26"/>
    <d v="2016-06-27T00:00:00"/>
    <x v="1"/>
    <n v="6"/>
    <s v="מר/252/2015"/>
    <x v="1"/>
    <n v="150"/>
    <n v="12121"/>
    <n v="11433750"/>
  </r>
  <r>
    <x v="1762"/>
    <n v="15649761"/>
    <x v="0"/>
    <s v="מחיר למשתכן"/>
    <n v="42980"/>
    <s v="ראש העין"/>
    <x v="26"/>
    <d v="2016-06-27T00:00:00"/>
    <x v="1"/>
    <n v="6"/>
    <s v="מר/252/2015"/>
    <x v="1"/>
    <n v="57"/>
    <n v="9120"/>
    <n v="6418200"/>
  </r>
  <r>
    <x v="1763"/>
    <n v="19789668"/>
    <x v="0"/>
    <s v="מחיר למשתכן"/>
    <n v="42981"/>
    <s v="ראש העין"/>
    <x v="26"/>
    <d v="2016-06-27T00:00:00"/>
    <x v="1"/>
    <n v="6"/>
    <s v="מר/252/2015"/>
    <x v="1"/>
    <n v="79"/>
    <n v="12640"/>
    <n v="9434575"/>
  </r>
  <r>
    <x v="1764"/>
    <n v="21486242"/>
    <x v="0"/>
    <s v="מחיר למשתכן"/>
    <n v="42982"/>
    <s v="ראש העין"/>
    <x v="26"/>
    <d v="2016-06-27T00:00:00"/>
    <x v="1"/>
    <n v="6"/>
    <s v="מר/252/2015"/>
    <x v="1"/>
    <n v="83"/>
    <n v="13280"/>
    <n v="8225300"/>
  </r>
  <r>
    <x v="1765"/>
    <n v="34626059"/>
    <x v="0"/>
    <s v="מחיר למשתכן"/>
    <n v="42983"/>
    <s v="ראש העין"/>
    <x v="26"/>
    <d v="2016-06-27T00:00:00"/>
    <x v="1"/>
    <n v="6"/>
    <s v="מר/252/2015"/>
    <x v="1"/>
    <n v="176"/>
    <n v="15732"/>
    <n v="13574000"/>
  </r>
  <r>
    <x v="1765"/>
    <n v="11365229"/>
    <x v="0"/>
    <s v="מחיר למשתכן"/>
    <n v="42984"/>
    <s v="ראש העין"/>
    <x v="26"/>
    <d v="2016-06-27T00:00:00"/>
    <x v="1"/>
    <n v="6"/>
    <s v="מר/252/2015"/>
    <x v="1"/>
    <n v="64"/>
    <n v="4566"/>
    <n v="4936000"/>
  </r>
  <r>
    <x v="1766"/>
    <n v="40110305"/>
    <x v="0"/>
    <s v="מחיר למשתכן"/>
    <n v="42986"/>
    <s v="ראש העין"/>
    <x v="26"/>
    <d v="2016-06-27T00:00:00"/>
    <x v="1"/>
    <n v="6"/>
    <s v="מר/252/2015"/>
    <x v="1"/>
    <n v="224"/>
    <n v="16315"/>
    <n v="18082400"/>
  </r>
  <r>
    <x v="1767"/>
    <n v="11512355"/>
    <x v="0"/>
    <s v="מחיר למשתכן"/>
    <n v="42987"/>
    <s v="ראש העין"/>
    <x v="26"/>
    <d v="2016-06-27T00:00:00"/>
    <x v="1"/>
    <n v="6"/>
    <s v="מר/252/2015"/>
    <x v="1"/>
    <n v="51"/>
    <n v="6109"/>
    <n v="4698375"/>
  </r>
  <r>
    <x v="1768"/>
    <n v="9537481"/>
    <x v="0"/>
    <s v="מחיר למשתכן"/>
    <n v="42988"/>
    <s v="ראש העין"/>
    <x v="26"/>
    <d v="2016-06-27T00:00:00"/>
    <x v="1"/>
    <n v="6"/>
    <s v="מר/252/2015"/>
    <x v="1"/>
    <n v="42"/>
    <n v="5088"/>
    <n v="3806250"/>
  </r>
  <r>
    <x v="1769"/>
    <n v="11029567"/>
    <x v="0"/>
    <s v="מחיר למשתכן"/>
    <n v="42989"/>
    <s v="ראש העין"/>
    <x v="26"/>
    <d v="2016-06-27T00:00:00"/>
    <x v="1"/>
    <n v="6"/>
    <s v="מר/252/2015"/>
    <x v="1"/>
    <n v="52"/>
    <n v="5516"/>
    <n v="4244500"/>
  </r>
  <r>
    <x v="1770"/>
    <n v="11686098"/>
    <x v="0"/>
    <s v="מחיר למשתכן"/>
    <n v="42990"/>
    <s v="ראש העין"/>
    <x v="26"/>
    <d v="2016-06-27T00:00:00"/>
    <x v="1"/>
    <n v="6"/>
    <s v="מר/252/2015"/>
    <x v="1"/>
    <n v="48"/>
    <n v="6287"/>
    <n v="4396800"/>
  </r>
  <r>
    <x v="1767"/>
    <n v="12688661"/>
    <x v="0"/>
    <s v="מחיר למשתכן"/>
    <n v="42991"/>
    <s v="ראש העין"/>
    <x v="26"/>
    <d v="2016-06-27T00:00:00"/>
    <x v="1"/>
    <n v="6"/>
    <s v="מר/252/2015"/>
    <x v="1"/>
    <n v="49"/>
    <n v="7507"/>
    <n v="4514125"/>
  </r>
  <r>
    <x v="1771"/>
    <n v="9841893"/>
    <x v="0"/>
    <s v="מחיר למשתכן"/>
    <n v="42992"/>
    <s v="ראש העין"/>
    <x v="26"/>
    <d v="2016-06-27T00:00:00"/>
    <x v="1"/>
    <n v="6"/>
    <s v="מר/252/2015"/>
    <x v="1"/>
    <n v="35"/>
    <n v="5913"/>
    <n v="3486875"/>
  </r>
  <r>
    <x v="1772"/>
    <n v="14142367"/>
    <x v="0"/>
    <s v="מחיר למשתכן"/>
    <n v="42993"/>
    <s v="ראש העין"/>
    <x v="26"/>
    <d v="2016-06-27T00:00:00"/>
    <x v="1"/>
    <n v="6"/>
    <s v="מר/252/2015"/>
    <x v="1"/>
    <n v="57"/>
    <n v="8111"/>
    <n v="5268225"/>
  </r>
  <r>
    <x v="1771"/>
    <n v="6701383"/>
    <x v="0"/>
    <s v="מחיר למשתכן"/>
    <n v="42994"/>
    <s v="ראש העין"/>
    <x v="26"/>
    <d v="2016-06-27T00:00:00"/>
    <x v="1"/>
    <n v="6"/>
    <s v="מר/252/2015"/>
    <x v="1"/>
    <n v="24"/>
    <n v="4007"/>
    <n v="2391000"/>
  </r>
  <r>
    <x v="1773"/>
    <n v="8493920"/>
    <x v="0"/>
    <s v="מחיר למשתכן"/>
    <n v="42995"/>
    <s v="ראש העין"/>
    <x v="26"/>
    <d v="2016-06-27T00:00:00"/>
    <x v="1"/>
    <n v="6"/>
    <s v="מר/252/2015"/>
    <x v="1"/>
    <n v="36"/>
    <n v="4682"/>
    <n v="3762000"/>
  </r>
  <r>
    <x v="1774"/>
    <n v="14827194"/>
    <x v="0"/>
    <s v="מחיר למשתכן"/>
    <n v="42996"/>
    <s v="ראש העין"/>
    <x v="26"/>
    <d v="2016-06-27T00:00:00"/>
    <x v="1"/>
    <n v="6"/>
    <s v="מר/252/2015"/>
    <x v="1"/>
    <n v="48"/>
    <n v="9447"/>
    <n v="4486800"/>
  </r>
  <r>
    <x v="1775"/>
    <n v="6915580"/>
    <x v="0"/>
    <s v="מחיר למשתכן"/>
    <n v="42997"/>
    <s v="ראש העין"/>
    <x v="26"/>
    <d v="2016-06-27T00:00:00"/>
    <x v="1"/>
    <n v="6"/>
    <s v="מר/252/2015"/>
    <x v="1"/>
    <n v="30"/>
    <n v="3738"/>
    <n v="2921250"/>
  </r>
  <r>
    <x v="1771"/>
    <n v="8553562"/>
    <x v="0"/>
    <s v="מחיר למשתכן"/>
    <n v="42998"/>
    <s v="ראש העין"/>
    <x v="26"/>
    <d v="2016-06-27T00:00:00"/>
    <x v="1"/>
    <n v="6"/>
    <s v="מר/252/2015"/>
    <x v="1"/>
    <n v="36"/>
    <n v="4742"/>
    <n v="3586500"/>
  </r>
  <r>
    <x v="1776"/>
    <n v="8949485"/>
    <x v="0"/>
    <s v="מחיר למשתכן"/>
    <n v="43243"/>
    <s v="ראש העין"/>
    <x v="26"/>
    <d v="2016-06-27T00:00:00"/>
    <x v="1"/>
    <n v="6"/>
    <s v="מר/252/2015"/>
    <x v="1"/>
    <n v="37"/>
    <n v="5033"/>
    <n v="3472450"/>
  </r>
  <r>
    <x v="1777"/>
    <n v="10485592"/>
    <x v="0"/>
    <s v="מחיר למשתכן"/>
    <n v="43286"/>
    <s v="ראש העין"/>
    <x v="26"/>
    <d v="2016-06-27T00:00:00"/>
    <x v="1"/>
    <n v="6"/>
    <s v="מר/252/2015"/>
    <x v="1"/>
    <n v="43"/>
    <n v="5649"/>
    <s v="אין הצעות למגרש זה"/>
  </r>
  <r>
    <x v="1778"/>
    <n v="20680675"/>
    <x v="0"/>
    <s v="מחיר למשתכן"/>
    <n v="34707"/>
    <s v="ראש העין, מתחם A"/>
    <x v="26"/>
    <d v="2016-06-13T00:00:00"/>
    <x v="1"/>
    <n v="6"/>
    <s v="מר/241/2015"/>
    <x v="1"/>
    <n v="92"/>
    <n v="7658"/>
    <n v="8675600"/>
  </r>
  <r>
    <x v="1779"/>
    <n v="87417257"/>
    <x v="0"/>
    <s v="מחיר למשתכן"/>
    <n v="34715"/>
    <s v="ראש העין, מתחם A"/>
    <x v="26"/>
    <d v="2016-06-13T00:00:00"/>
    <x v="1"/>
    <n v="6"/>
    <s v="מר/241/2015"/>
    <x v="1"/>
    <n v="371"/>
    <n v="34164"/>
    <n v="39437300"/>
  </r>
  <r>
    <x v="1780"/>
    <n v="40128404"/>
    <x v="0"/>
    <s v="מחיר למשתכן"/>
    <n v="41133"/>
    <s v="ראש העין, מתחם A"/>
    <x v="26"/>
    <d v="2016-06-13T00:00:00"/>
    <x v="1"/>
    <n v="6"/>
    <s v="מר/241/2015"/>
    <x v="1"/>
    <n v="199"/>
    <n v="12800"/>
    <n v="13885225"/>
  </r>
  <r>
    <x v="1781"/>
    <n v="32149108"/>
    <x v="0"/>
    <s v="מחיר למשתכן"/>
    <n v="43393"/>
    <s v="ראש העין, מתחם A"/>
    <x v="26"/>
    <d v="2016-06-13T00:00:00"/>
    <x v="1"/>
    <n v="6"/>
    <s v="מר/241/2015"/>
    <x v="1"/>
    <n v="145"/>
    <n v="11701"/>
    <n v="10030375"/>
  </r>
  <r>
    <x v="1782"/>
    <n v="32739987"/>
    <x v="0"/>
    <s v="מחיר למשתכן"/>
    <n v="25588"/>
    <s v="ראש העין, אתר B"/>
    <x v="26"/>
    <d v="2016-04-18T00:00:00"/>
    <x v="1"/>
    <n v="4"/>
    <s v="מר/242/2015"/>
    <x v="1"/>
    <n v="224"/>
    <n v="13978"/>
    <n v="25390400"/>
  </r>
  <r>
    <x v="1783"/>
    <n v="43595072"/>
    <x v="0"/>
    <s v="מחיר למשתכן"/>
    <n v="34862"/>
    <s v="ראש העין, אתר B"/>
    <x v="26"/>
    <d v="2016-04-18T00:00:00"/>
    <x v="1"/>
    <n v="4"/>
    <s v="מר/242/2015"/>
    <x v="1"/>
    <n v="264"/>
    <n v="23320"/>
    <n v="32122200"/>
  </r>
  <r>
    <x v="1784"/>
    <n v="61057133"/>
    <x v="0"/>
    <s v="מחיר למשתכן"/>
    <n v="24781"/>
    <s v="ראש העין"/>
    <x v="26"/>
    <d v="2015-11-30T00:00:00"/>
    <x v="3"/>
    <n v="11"/>
    <s v="מר/184/2015"/>
    <x v="1"/>
    <n v="256"/>
    <n v="13708"/>
    <n v="21664000"/>
  </r>
  <r>
    <x v="1785"/>
    <n v="18847151"/>
    <x v="1"/>
    <s v="  "/>
    <n v="23680"/>
    <s v="ראש העין, מתחם B"/>
    <x v="26"/>
    <d v="2015-12-07T00:00:00"/>
    <x v="3"/>
    <n v="12"/>
    <s v="מר/417/2014"/>
    <x v="1"/>
    <n v="29"/>
    <n v="8749"/>
    <n v="7329720"/>
  </r>
  <r>
    <x v="1786"/>
    <n v="34244736"/>
    <x v="0"/>
    <s v="  "/>
    <n v="23536"/>
    <s v="ראש העין, אתר A"/>
    <x v="26"/>
    <d v="2015-05-20T00:00:00"/>
    <x v="3"/>
    <n v="5"/>
    <s v="מר/365/2014"/>
    <x v="1"/>
    <n v="157"/>
    <n v="9819"/>
    <n v="8188888"/>
  </r>
  <r>
    <x v="1787"/>
    <n v="14747615"/>
    <x v="0"/>
    <s v="  "/>
    <n v="23541"/>
    <s v="ראש העין, אתר A"/>
    <x v="26"/>
    <d v="2015-05-20T00:00:00"/>
    <x v="3"/>
    <n v="5"/>
    <s v="מר/365/2014"/>
    <x v="1"/>
    <n v="63"/>
    <n v="4510"/>
    <n v="2555555"/>
  </r>
  <r>
    <x v="1788"/>
    <n v="22667708"/>
    <x v="0"/>
    <s v="  "/>
    <n v="23545"/>
    <s v="ראש העין, אתר A"/>
    <x v="26"/>
    <d v="2015-05-20T00:00:00"/>
    <x v="3"/>
    <n v="5"/>
    <s v="מר/365/2014"/>
    <x v="1"/>
    <n v="92"/>
    <n v="7658"/>
    <s v="הצעה יחידה ובהתאם לתנאי המכרז לא הוכרזו זוכים"/>
  </r>
  <r>
    <x v="1777"/>
    <n v="13252572"/>
    <x v="0"/>
    <s v="  "/>
    <n v="34705"/>
    <s v="ראש העין, אתר A"/>
    <x v="26"/>
    <d v="2015-05-20T00:00:00"/>
    <x v="3"/>
    <n v="5"/>
    <s v="מר/365/2014"/>
    <x v="1"/>
    <n v="45"/>
    <n v="5331"/>
    <s v="אין הצעות למגרש זה"/>
  </r>
  <r>
    <x v="132"/>
    <n v="86830338"/>
    <x v="0"/>
    <s v="  "/>
    <n v="34706"/>
    <s v="ראש העין, אתר A"/>
    <x v="26"/>
    <d v="2015-05-20T00:00:00"/>
    <x v="3"/>
    <n v="5"/>
    <s v="מר/365/2014"/>
    <x v="1"/>
    <n v="341"/>
    <n v="22353"/>
    <n v="1800000"/>
  </r>
  <r>
    <x v="1789"/>
    <n v="64348266"/>
    <x v="0"/>
    <s v="  "/>
    <n v="34709"/>
    <s v="ראש העין, אתר A"/>
    <x v="26"/>
    <d v="2015-05-20T00:00:00"/>
    <x v="3"/>
    <n v="5"/>
    <s v="מר/365/2014"/>
    <x v="1"/>
    <n v="276"/>
    <n v="20298"/>
    <n v="13299000"/>
  </r>
  <r>
    <x v="1790"/>
    <n v="91533542"/>
    <x v="0"/>
    <s v="  "/>
    <n v="34710"/>
    <s v="ראש העין, אתר A"/>
    <x v="26"/>
    <d v="2015-05-20T00:00:00"/>
    <x v="3"/>
    <n v="5"/>
    <s v="מר/365/2014"/>
    <x v="1"/>
    <n v="422"/>
    <n v="26017"/>
    <n v="23633334"/>
  </r>
  <r>
    <x v="1791"/>
    <n v="79560478"/>
    <x v="0"/>
    <s v="  "/>
    <n v="34712"/>
    <s v="ראש העין, אתר A"/>
    <x v="26"/>
    <d v="2015-05-20T00:00:00"/>
    <x v="3"/>
    <n v="5"/>
    <s v="מר/365/2014"/>
    <x v="1"/>
    <n v="326"/>
    <n v="26578"/>
    <n v="9050333"/>
  </r>
  <r>
    <x v="1788"/>
    <n v="46233835"/>
    <x v="0"/>
    <s v="  "/>
    <n v="34714"/>
    <s v="ראש העין, אתר A"/>
    <x v="26"/>
    <d v="2015-05-20T00:00:00"/>
    <x v="3"/>
    <n v="5"/>
    <s v="מר/365/2014"/>
    <x v="1"/>
    <n v="189"/>
    <n v="15488"/>
    <s v="הצעה יחידה ובהתאם לתנאי המכרז לא הוכרזו זוכים"/>
  </r>
  <r>
    <x v="1777"/>
    <n v="36406501"/>
    <x v="0"/>
    <s v="  "/>
    <n v="34715"/>
    <s v="ראש העין, אתר A"/>
    <x v="26"/>
    <d v="2015-05-20T00:00:00"/>
    <x v="3"/>
    <n v="5"/>
    <s v="מר/365/2014"/>
    <x v="1"/>
    <n v="137"/>
    <n v="13345"/>
    <s v="אין הצעות למגרש זה"/>
  </r>
  <r>
    <x v="1792"/>
    <m/>
    <x v="0"/>
    <s v="  "/>
    <n v="1"/>
    <s v="ראש העין, מתחם ג'ון קנדי"/>
    <x v="26"/>
    <d v="2013-07-08T00:00:00"/>
    <x v="4"/>
    <n v="7"/>
    <s v="מר/104/2013"/>
    <x v="2"/>
    <n v="13"/>
    <n v="3414"/>
    <n v="5180000"/>
  </r>
  <r>
    <x v="1793"/>
    <n v="208034"/>
    <x v="8"/>
    <s v="  "/>
    <s v="א"/>
    <s v="ראש העין"/>
    <x v="26"/>
    <d v="2013-03-04T00:00:00"/>
    <x v="4"/>
    <n v="3"/>
    <s v="מר/307/2012"/>
    <x v="2"/>
    <n v="41"/>
    <n v="4133"/>
    <n v="6350000"/>
  </r>
  <r>
    <x v="1794"/>
    <n v="5223"/>
    <x v="1"/>
    <s v="  "/>
    <n v="1122"/>
    <s v="ראש העין"/>
    <x v="26"/>
    <d v="2012-08-08T00:00:00"/>
    <x v="5"/>
    <n v="8"/>
    <s v="מר/96/2012"/>
    <x v="2"/>
    <n v="1"/>
    <n v="497"/>
    <n v="1123000"/>
  </r>
  <r>
    <x v="1795"/>
    <n v="5223"/>
    <x v="1"/>
    <s v="  "/>
    <n v="1123"/>
    <s v="ראש העין"/>
    <x v="26"/>
    <d v="2012-08-08T00:00:00"/>
    <x v="5"/>
    <n v="8"/>
    <s v="מר/96/2012"/>
    <x v="2"/>
    <n v="1"/>
    <n v="567"/>
    <n v="1155000"/>
  </r>
  <r>
    <x v="1796"/>
    <n v="5223"/>
    <x v="1"/>
    <s v="  "/>
    <n v="1124"/>
    <s v="ראש העין"/>
    <x v="26"/>
    <d v="2012-08-08T00:00:00"/>
    <x v="5"/>
    <n v="8"/>
    <s v="מר/96/2012"/>
    <x v="2"/>
    <n v="1"/>
    <n v="549"/>
    <n v="1100712"/>
  </r>
  <r>
    <x v="1797"/>
    <n v="5223"/>
    <x v="1"/>
    <s v="  "/>
    <n v="1125"/>
    <s v="ראש העין"/>
    <x v="26"/>
    <d v="2012-08-08T00:00:00"/>
    <x v="5"/>
    <n v="8"/>
    <s v="מר/96/2012"/>
    <x v="2"/>
    <n v="1"/>
    <n v="656"/>
    <n v="1220000"/>
  </r>
  <r>
    <x v="1798"/>
    <n v="27424732"/>
    <x v="0"/>
    <s v="  "/>
    <n v="23549"/>
    <s v="ראש העין, רובע B"/>
    <x v="26"/>
    <d v="2012-05-03T00:00:00"/>
    <x v="5"/>
    <n v="5"/>
    <s v="מר/313/2011"/>
    <x v="2"/>
    <n v="256"/>
    <n v="12628"/>
    <n v="36818818"/>
  </r>
  <r>
    <x v="1799"/>
    <n v="10388016"/>
    <x v="0"/>
    <s v="  "/>
    <n v="24768"/>
    <s v="ראש העין, רובע B"/>
    <x v="26"/>
    <d v="2012-05-03T00:00:00"/>
    <x v="5"/>
    <n v="5"/>
    <s v="מר/313/2011"/>
    <x v="2"/>
    <n v="33"/>
    <n v="8723"/>
    <n v="11277778"/>
  </r>
  <r>
    <x v="1090"/>
    <n v="25293406"/>
    <x v="0"/>
    <s v="  "/>
    <n v="24769"/>
    <s v="ראש העין, רובע B"/>
    <x v="26"/>
    <d v="2012-05-03T00:00:00"/>
    <x v="5"/>
    <n v="5"/>
    <s v="מר/313/2011"/>
    <x v="2"/>
    <n v="76"/>
    <n v="21728"/>
    <n v="22000000"/>
  </r>
  <r>
    <x v="1800"/>
    <n v="23373100"/>
    <x v="0"/>
    <s v="  "/>
    <n v="24770"/>
    <s v="ראש העין, רובע B"/>
    <x v="26"/>
    <d v="2012-05-03T00:00:00"/>
    <x v="5"/>
    <n v="5"/>
    <s v="מר/313/2011"/>
    <x v="2"/>
    <n v="68"/>
    <n v="20326"/>
    <n v="10540260"/>
  </r>
  <r>
    <x v="1801"/>
    <n v="18660440"/>
    <x v="0"/>
    <s v="  "/>
    <n v="24774"/>
    <s v="ראש העין, רובע B"/>
    <x v="26"/>
    <d v="2012-05-03T00:00:00"/>
    <x v="5"/>
    <n v="5"/>
    <s v="מר/313/2011"/>
    <x v="2"/>
    <n v="180"/>
    <n v="8134"/>
    <n v="28026777"/>
  </r>
  <r>
    <x v="1802"/>
    <n v="20093804"/>
    <x v="0"/>
    <s v="  "/>
    <n v="24775"/>
    <s v="ראש העין, רובע B"/>
    <x v="26"/>
    <d v="2012-05-03T00:00:00"/>
    <x v="5"/>
    <n v="5"/>
    <s v="מר/313/2011"/>
    <x v="2"/>
    <n v="180"/>
    <n v="9848"/>
    <n v="18800888"/>
  </r>
  <r>
    <x v="1803"/>
    <n v="19195356"/>
    <x v="0"/>
    <s v="  "/>
    <n v="24776"/>
    <s v="ראש העין, רובע B"/>
    <x v="26"/>
    <d v="2012-05-03T00:00:00"/>
    <x v="5"/>
    <n v="5"/>
    <s v="מר/313/2011"/>
    <x v="2"/>
    <n v="156"/>
    <n v="10664"/>
    <n v="22144888"/>
  </r>
  <r>
    <x v="1804"/>
    <n v="18657932"/>
    <x v="0"/>
    <s v="  "/>
    <n v="24778"/>
    <s v="ראש העין, רובע B"/>
    <x v="26"/>
    <d v="2012-05-03T00:00:00"/>
    <x v="5"/>
    <n v="5"/>
    <s v="מר/313/2011"/>
    <x v="2"/>
    <n v="180"/>
    <n v="8131"/>
    <n v="24819118"/>
  </r>
  <r>
    <x v="1805"/>
    <n v="14065324"/>
    <x v="0"/>
    <s v="  "/>
    <n v="24779"/>
    <s v="ראש העין, רובע B"/>
    <x v="26"/>
    <d v="2012-05-03T00:00:00"/>
    <x v="5"/>
    <n v="5"/>
    <s v="מר/313/2011"/>
    <x v="2"/>
    <n v="144"/>
    <n v="5475"/>
    <n v="32777778"/>
  </r>
  <r>
    <x v="1806"/>
    <n v="13183944"/>
    <x v="0"/>
    <s v="  "/>
    <n v="23678"/>
    <s v="ראש העין, רובע B"/>
    <x v="26"/>
    <d v="2015-11-16T00:00:00"/>
    <x v="3"/>
    <n v="11"/>
    <s v="מר/201/2011"/>
    <x v="1"/>
    <n v="33"/>
    <n v="9452"/>
    <n v="15977778"/>
  </r>
  <r>
    <x v="1777"/>
    <n v="12474778"/>
    <x v="0"/>
    <s v="  "/>
    <n v="23680"/>
    <s v="ראש העין, רובע B"/>
    <x v="26"/>
    <d v="2015-11-16T00:00:00"/>
    <x v="3"/>
    <n v="11"/>
    <s v="מר/201/2011"/>
    <x v="1"/>
    <n v="29"/>
    <n v="8752"/>
    <s v="אין הצעות למגרש זה"/>
  </r>
  <r>
    <x v="1807"/>
    <m/>
    <x v="0"/>
    <s v="  "/>
    <s v="א"/>
    <s v="ראש העין"/>
    <x v="26"/>
    <d v="2008-08-17T00:00:00"/>
    <x v="6"/>
    <n v="8"/>
    <s v="מר/153/2011"/>
    <x v="2"/>
    <n v="8"/>
    <n v="4864"/>
    <n v="10762555"/>
  </r>
  <r>
    <x v="1808"/>
    <n v="7185211"/>
    <x v="0"/>
    <s v="  "/>
    <n v="23537"/>
    <s v="ראש העין, רובע A B"/>
    <x v="26"/>
    <d v="2011-08-05T00:00:00"/>
    <x v="7"/>
    <n v="8"/>
    <s v="מר/366/2010"/>
    <x v="2"/>
    <n v="47"/>
    <n v="3904"/>
    <n v="6500000"/>
  </r>
  <r>
    <x v="1809"/>
    <n v="17852830"/>
    <x v="0"/>
    <s v="  "/>
    <n v="23539"/>
    <s v="ראש העין, רובע A B"/>
    <x v="26"/>
    <d v="2011-08-05T00:00:00"/>
    <x v="7"/>
    <n v="8"/>
    <s v="מר/366/2010"/>
    <x v="2"/>
    <n v="132"/>
    <n v="8261"/>
    <n v="25266818"/>
  </r>
  <r>
    <x v="1810"/>
    <n v="7434729"/>
    <x v="0"/>
    <s v="  "/>
    <n v="23540"/>
    <s v="ראש העין, רובע A B"/>
    <x v="26"/>
    <d v="2011-08-05T00:00:00"/>
    <x v="7"/>
    <n v="8"/>
    <s v="מר/366/2010"/>
    <x v="2"/>
    <n v="53"/>
    <n v="3578"/>
    <n v="11885888"/>
  </r>
  <r>
    <x v="1811"/>
    <n v="13928092"/>
    <x v="0"/>
    <s v="  "/>
    <n v="23542"/>
    <s v="ראש העין, רובע A B"/>
    <x v="26"/>
    <d v="2011-08-05T00:00:00"/>
    <x v="7"/>
    <n v="8"/>
    <s v="מר/366/2010"/>
    <x v="2"/>
    <n v="91"/>
    <n v="7569"/>
    <n v="15499260"/>
  </r>
  <r>
    <x v="1812"/>
    <n v="7350966"/>
    <x v="0"/>
    <s v="  "/>
    <n v="23543"/>
    <s v="ראש העין, רובע A B"/>
    <x v="26"/>
    <d v="2011-08-05T00:00:00"/>
    <x v="7"/>
    <n v="8"/>
    <s v="מר/366/2010"/>
    <x v="2"/>
    <n v="48"/>
    <n v="4004"/>
    <s v="המציע זכה במגרש אחר"/>
  </r>
  <r>
    <x v="1813"/>
    <n v="7180206"/>
    <x v="0"/>
    <s v="  "/>
    <n v="23546"/>
    <s v="ראש העין, רובע A B"/>
    <x v="26"/>
    <d v="2011-08-05T00:00:00"/>
    <x v="7"/>
    <n v="8"/>
    <s v="מר/366/2010"/>
    <x v="2"/>
    <n v="53"/>
    <n v="3342"/>
    <n v="10852999"/>
  </r>
  <r>
    <x v="1814"/>
    <n v="8774091"/>
    <x v="0"/>
    <s v="  "/>
    <n v="23548"/>
    <s v="ראש העין, רובע A B"/>
    <x v="26"/>
    <d v="2011-08-05T00:00:00"/>
    <x v="7"/>
    <n v="8"/>
    <s v="מר/366/2010"/>
    <x v="2"/>
    <n v="57"/>
    <n v="4783"/>
    <n v="13100000"/>
  </r>
  <r>
    <x v="1815"/>
    <n v="31575918"/>
    <x v="0"/>
    <s v="  "/>
    <n v="23550"/>
    <s v="ראש העין, רובע A B"/>
    <x v="26"/>
    <d v="2011-08-05T00:00:00"/>
    <x v="7"/>
    <n v="8"/>
    <s v="מר/366/2010"/>
    <x v="2"/>
    <n v="256"/>
    <n v="11870"/>
    <n v="78960000"/>
  </r>
  <r>
    <x v="1816"/>
    <n v="27678874"/>
    <x v="0"/>
    <s v="  "/>
    <n v="23551"/>
    <s v="ראש העין, רובע A B"/>
    <x v="26"/>
    <d v="2011-08-05T00:00:00"/>
    <x v="7"/>
    <n v="8"/>
    <s v="מר/366/2010"/>
    <x v="2"/>
    <n v="192"/>
    <n v="13950"/>
    <n v="40500000"/>
  </r>
  <r>
    <x v="1817"/>
    <n v="31694092"/>
    <x v="0"/>
    <s v="  "/>
    <n v="23552"/>
    <s v="ראש העין, רובע A B"/>
    <x v="26"/>
    <d v="2011-08-05T00:00:00"/>
    <x v="7"/>
    <n v="8"/>
    <s v="מר/366/2010"/>
    <x v="2"/>
    <n v="256"/>
    <n v="11810"/>
    <n v="85000000"/>
  </r>
  <r>
    <x v="1818"/>
    <n v="11445784"/>
    <x v="0"/>
    <s v="  "/>
    <n v="23677"/>
    <s v="ראש העין, רובע A B"/>
    <x v="26"/>
    <d v="2011-08-05T00:00:00"/>
    <x v="7"/>
    <n v="8"/>
    <s v="מר/366/2010"/>
    <x v="2"/>
    <n v="28"/>
    <n v="8541"/>
    <n v="11299147"/>
  </r>
  <r>
    <x v="1819"/>
    <n v="12809304"/>
    <x v="0"/>
    <s v="  "/>
    <n v="23678"/>
    <s v="ראש העין, רובע A B"/>
    <x v="26"/>
    <d v="2011-08-05T00:00:00"/>
    <x v="7"/>
    <n v="8"/>
    <s v="מר/366/2010"/>
    <x v="2"/>
    <n v="33"/>
    <n v="9452"/>
    <s v="הצעות לא תקינות"/>
  </r>
  <r>
    <x v="1820"/>
    <n v="14851651"/>
    <x v="0"/>
    <s v="  "/>
    <n v="23679"/>
    <s v="ראש העין, רובע A B"/>
    <x v="26"/>
    <d v="2011-08-05T00:00:00"/>
    <x v="7"/>
    <n v="8"/>
    <s v="מר/366/2010"/>
    <x v="2"/>
    <n v="38"/>
    <n v="11240"/>
    <n v="9601101"/>
  </r>
  <r>
    <x v="1819"/>
    <n v="12120478"/>
    <x v="0"/>
    <s v="  "/>
    <n v="23680"/>
    <s v="ראש העין, רובע A B"/>
    <x v="26"/>
    <d v="2011-08-05T00:00:00"/>
    <x v="7"/>
    <n v="8"/>
    <s v="מר/366/2010"/>
    <x v="2"/>
    <n v="29"/>
    <n v="8752"/>
    <s v="הצעות לא תקינות"/>
  </r>
  <r>
    <x v="1821"/>
    <n v="13811311"/>
    <x v="0"/>
    <s v="  "/>
    <n v="23681"/>
    <s v="ראש העין, רובע A B"/>
    <x v="26"/>
    <d v="2011-08-05T00:00:00"/>
    <x v="7"/>
    <n v="8"/>
    <s v="מר/366/2010"/>
    <x v="2"/>
    <n v="36"/>
    <n v="10108"/>
    <n v="8550000"/>
  </r>
  <r>
    <x v="1822"/>
    <m/>
    <x v="0"/>
    <s v="  "/>
    <s v="א"/>
    <s v="ראש העין, ראש העין"/>
    <x v="26"/>
    <d v="2011-10-01T00:00:00"/>
    <x v="7"/>
    <n v="10"/>
    <s v="מר/302/2010"/>
    <x v="2"/>
    <n v="21"/>
    <n v="13080"/>
    <n v="20222222"/>
  </r>
  <r>
    <x v="1823"/>
    <m/>
    <x v="0"/>
    <s v="  "/>
    <s v="ב"/>
    <s v="ראש העין, ראש העין"/>
    <x v="26"/>
    <d v="2011-10-01T00:00:00"/>
    <x v="7"/>
    <n v="10"/>
    <s v="מר/302/2010"/>
    <x v="2"/>
    <n v="55"/>
    <n v="10307"/>
    <n v="27665555"/>
  </r>
  <r>
    <x v="1824"/>
    <n v="1361400"/>
    <x v="2"/>
    <s v="  "/>
    <s v="א"/>
    <s v="ראש העין"/>
    <x v="26"/>
    <d v="2010-05-26T00:00:00"/>
    <x v="8"/>
    <n v="5"/>
    <s v="מר/35/2010"/>
    <x v="2"/>
    <m/>
    <n v="323"/>
    <n v="600250"/>
  </r>
  <r>
    <x v="1825"/>
    <n v="595715"/>
    <x v="0"/>
    <s v="  "/>
    <s v="71/2"/>
    <s v="ראש העין, ראש העין"/>
    <x v="26"/>
    <d v="2010-02-24T00:00:00"/>
    <x v="8"/>
    <n v="2"/>
    <s v="מר/372/2009"/>
    <x v="2"/>
    <n v="12"/>
    <n v="1175"/>
    <n v="4332000"/>
  </r>
  <r>
    <x v="1826"/>
    <m/>
    <x v="1"/>
    <s v="  "/>
    <n v="192"/>
    <s v="ראש העין"/>
    <x v="26"/>
    <d v="2015-11-25T00:00:00"/>
    <x v="3"/>
    <n v="11"/>
    <s v="מר/258/2009"/>
    <x v="2"/>
    <n v="2"/>
    <n v="507"/>
    <n v="1075000"/>
  </r>
  <r>
    <x v="1827"/>
    <m/>
    <x v="1"/>
    <s v="  "/>
    <n v="193"/>
    <s v="ראש העין"/>
    <x v="26"/>
    <d v="2015-11-25T00:00:00"/>
    <x v="3"/>
    <n v="11"/>
    <s v="מר/258/2009"/>
    <x v="2"/>
    <n v="2"/>
    <n v="506"/>
    <n v="1111111"/>
  </r>
  <r>
    <x v="1828"/>
    <m/>
    <x v="1"/>
    <s v="  "/>
    <s v="א/50/3"/>
    <s v="ראש העין"/>
    <x v="26"/>
    <d v="2009-06-05T00:00:00"/>
    <x v="9"/>
    <n v="6"/>
    <s v="מר/37/2009"/>
    <x v="2"/>
    <n v="2"/>
    <n v="514"/>
    <n v="1188888"/>
  </r>
  <r>
    <x v="1829"/>
    <m/>
    <x v="0"/>
    <s v="  "/>
    <n v="17"/>
    <s v="ראש העין, צומת קסם"/>
    <x v="26"/>
    <d v="2009-02-17T00:00:00"/>
    <x v="9"/>
    <n v="2"/>
    <s v="מר/256/2008"/>
    <x v="2"/>
    <n v="1072"/>
    <n v="391647"/>
    <n v="137000000"/>
  </r>
  <r>
    <x v="1830"/>
    <n v="81134"/>
    <x v="1"/>
    <s v="  "/>
    <s v="58/20 2"/>
    <s v="ראש העין"/>
    <x v="26"/>
    <d v="2008-09-24T00:00:00"/>
    <x v="6"/>
    <n v="9"/>
    <s v="מר/211/2008"/>
    <x v="2"/>
    <n v="1"/>
    <n v="461"/>
    <n v="900000"/>
  </r>
  <r>
    <x v="1831"/>
    <m/>
    <x v="1"/>
    <s v="  "/>
    <s v="א/50/3"/>
    <s v="ראש העין"/>
    <x v="26"/>
    <d v="2008-09-24T00:00:00"/>
    <x v="6"/>
    <n v="9"/>
    <s v="מר/215/2008"/>
    <x v="2"/>
    <n v="2"/>
    <n v="514"/>
    <n v="1041000"/>
  </r>
  <r>
    <x v="1777"/>
    <m/>
    <x v="8"/>
    <s v="  "/>
    <s v="  "/>
    <s v="ראש העין, צומת קסם"/>
    <x v="26"/>
    <d v="2008-08-20T00:00:00"/>
    <x v="6"/>
    <n v="8"/>
    <s v="מר/500/2007"/>
    <x v="2"/>
    <m/>
    <m/>
    <s v="אין הצעות למגרש זה"/>
  </r>
  <r>
    <x v="1832"/>
    <n v="179712"/>
    <x v="1"/>
    <s v="  "/>
    <s v="11 ב"/>
    <s v="ראש העין"/>
    <x v="26"/>
    <d v="2007-09-12T00:00:00"/>
    <x v="10"/>
    <n v="9"/>
    <s v="מר/233/2007"/>
    <x v="2"/>
    <n v="2"/>
    <n v="375"/>
    <n v="442000"/>
  </r>
  <r>
    <x v="1833"/>
    <m/>
    <x v="1"/>
    <s v="  "/>
    <s v="ה 1"/>
    <s v="ראש העין"/>
    <x v="26"/>
    <d v="2007-01-08T00:00:00"/>
    <x v="10"/>
    <n v="1"/>
    <s v="מר/149/2007"/>
    <x v="2"/>
    <n v="1"/>
    <n v="428"/>
    <n v="391300"/>
  </r>
  <r>
    <x v="1834"/>
    <m/>
    <x v="1"/>
    <s v="  "/>
    <s v="46 1"/>
    <s v="ראש העין"/>
    <x v="26"/>
    <d v="2007-01-08T00:00:00"/>
    <x v="10"/>
    <n v="1"/>
    <s v="מר/149/2007"/>
    <x v="2"/>
    <n v="2"/>
    <n v="680"/>
    <n v="911773"/>
  </r>
  <r>
    <x v="1835"/>
    <m/>
    <x v="9"/>
    <s v="  "/>
    <s v="א"/>
    <s v="ראש העין"/>
    <x v="26"/>
    <d v="2003-04-06T00:00:00"/>
    <x v="11"/>
    <n v="4"/>
    <s v="מר/70/2003"/>
    <x v="2"/>
    <m/>
    <n v="38156"/>
    <n v="1111111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3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53:F70" firstHeaderRow="1" firstDataRow="2" firstDataCol="1" rowPageCount="3" colPageCount="1"/>
  <pivotFields count="15">
    <pivotField axis="axisPage" multipleItemSelectionAllowed="1" showAll="0">
      <items count="1837">
        <item x="1168"/>
        <item x="1267"/>
        <item x="1269"/>
        <item x="1270"/>
        <item x="1271"/>
        <item x="1272"/>
        <item x="1162"/>
        <item x="1116"/>
        <item x="1"/>
        <item x="1106"/>
        <item x="2"/>
        <item x="1105"/>
        <item x="1104"/>
        <item x="1117"/>
        <item x="1289"/>
        <item x="1092"/>
        <item x="1118"/>
        <item x="1119"/>
        <item x="1098"/>
        <item x="1120"/>
        <item x="1095"/>
        <item x="139"/>
        <item x="1290"/>
        <item x="1291"/>
        <item x="1292"/>
        <item x="1102"/>
        <item x="3"/>
        <item x="1101"/>
        <item x="1121"/>
        <item x="1122"/>
        <item x="4"/>
        <item x="1100"/>
        <item x="1093"/>
        <item x="1103"/>
        <item x="1096"/>
        <item x="1094"/>
        <item x="5"/>
        <item x="6"/>
        <item x="140"/>
        <item x="1123"/>
        <item x="141"/>
        <item x="7"/>
        <item x="8"/>
        <item x="142"/>
        <item x="9"/>
        <item x="1124"/>
        <item x="143"/>
        <item x="1114"/>
        <item x="1107"/>
        <item x="1125"/>
        <item x="1781"/>
        <item x="1780"/>
        <item x="1273"/>
        <item x="1761"/>
        <item x="1765"/>
        <item x="1766"/>
        <item x="1769"/>
        <item x="1784"/>
        <item x="1768"/>
        <item x="1770"/>
        <item x="1767"/>
        <item x="1772"/>
        <item x="1774"/>
        <item x="1776"/>
        <item x="1274"/>
        <item x="1778"/>
        <item x="1775"/>
        <item x="1275"/>
        <item x="1764"/>
        <item x="1771"/>
        <item x="1773"/>
        <item x="1779"/>
        <item x="1762"/>
        <item x="1782"/>
        <item x="1276"/>
        <item x="1763"/>
        <item x="1783"/>
        <item x="10"/>
        <item x="1138"/>
        <item x="1139"/>
        <item x="1140"/>
        <item x="1169"/>
        <item x="1141"/>
        <item x="1142"/>
        <item x="1143"/>
        <item x="1755"/>
        <item x="1673"/>
        <item x="1144"/>
        <item x="1674"/>
        <item x="1756"/>
        <item x="1145"/>
        <item x="1675"/>
        <item x="1146"/>
        <item x="1147"/>
        <item x="1170"/>
        <item x="1757"/>
        <item x="1171"/>
        <item x="1148"/>
        <item x="1733"/>
        <item x="1676"/>
        <item x="1149"/>
        <item x="1150"/>
        <item x="1172"/>
        <item x="1677"/>
        <item x="1151"/>
        <item x="1152"/>
        <item x="1678"/>
        <item x="1746"/>
        <item x="1173"/>
        <item x="1174"/>
        <item x="1175"/>
        <item x="1679"/>
        <item x="1153"/>
        <item x="1266"/>
        <item x="1176"/>
        <item x="1177"/>
        <item x="1166"/>
        <item x="1750"/>
        <item x="1178"/>
        <item x="1737"/>
        <item x="1164"/>
        <item x="1265"/>
        <item x="1179"/>
        <item x="1259"/>
        <item x="1180"/>
        <item x="1181"/>
        <item x="1680"/>
        <item x="1744"/>
        <item x="1749"/>
        <item x="1681"/>
        <item x="1182"/>
        <item x="1682"/>
        <item x="1683"/>
        <item x="1736"/>
        <item x="1751"/>
        <item x="1684"/>
        <item x="1685"/>
        <item x="1686"/>
        <item x="1738"/>
        <item x="1260"/>
        <item x="1753"/>
        <item x="1752"/>
        <item x="1741"/>
        <item x="1743"/>
        <item x="1183"/>
        <item x="1184"/>
        <item x="1748"/>
        <item x="1185"/>
        <item x="1742"/>
        <item x="1186"/>
        <item x="1735"/>
        <item x="1739"/>
        <item x="1745"/>
        <item x="1165"/>
        <item x="1187"/>
        <item x="1754"/>
        <item x="1747"/>
        <item x="1188"/>
        <item x="1189"/>
        <item x="1190"/>
        <item x="1740"/>
        <item x="1191"/>
        <item x="1167"/>
        <item x="1687"/>
        <item x="1688"/>
        <item x="1108"/>
        <item x="1109"/>
        <item x="1110"/>
        <item x="1111"/>
        <item x="1112"/>
        <item x="111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1293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1294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1295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1296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1297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1298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1299"/>
        <item x="443"/>
        <item x="444"/>
        <item x="445"/>
        <item x="446"/>
        <item x="447"/>
        <item x="1300"/>
        <item x="448"/>
        <item x="449"/>
        <item x="450"/>
        <item x="451"/>
        <item x="452"/>
        <item x="453"/>
        <item x="454"/>
        <item x="455"/>
        <item x="456"/>
        <item x="1301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1302"/>
        <item x="511"/>
        <item x="512"/>
        <item x="513"/>
        <item x="514"/>
        <item x="515"/>
        <item x="516"/>
        <item x="517"/>
        <item x="518"/>
        <item x="519"/>
        <item x="1303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130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1305"/>
        <item x="549"/>
        <item x="550"/>
        <item x="551"/>
        <item x="552"/>
        <item x="553"/>
        <item x="554"/>
        <item x="1306"/>
        <item x="555"/>
        <item x="556"/>
        <item x="1307"/>
        <item x="557"/>
        <item x="1308"/>
        <item x="1309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1310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1311"/>
        <item x="594"/>
        <item x="595"/>
        <item x="1312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1313"/>
        <item x="1314"/>
        <item x="612"/>
        <item x="1315"/>
        <item x="613"/>
        <item x="614"/>
        <item x="615"/>
        <item x="616"/>
        <item x="617"/>
        <item x="618"/>
        <item x="11"/>
        <item x="1316"/>
        <item x="619"/>
        <item x="620"/>
        <item x="1317"/>
        <item x="621"/>
        <item x="1318"/>
        <item x="622"/>
        <item x="623"/>
        <item x="624"/>
        <item x="625"/>
        <item x="626"/>
        <item x="627"/>
        <item x="628"/>
        <item x="629"/>
        <item x="1319"/>
        <item x="630"/>
        <item x="631"/>
        <item x="632"/>
        <item x="633"/>
        <item x="634"/>
        <item x="635"/>
        <item x="636"/>
        <item x="1320"/>
        <item x="1321"/>
        <item x="637"/>
        <item x="638"/>
        <item x="639"/>
        <item x="640"/>
        <item x="641"/>
        <item x="642"/>
        <item x="1322"/>
        <item x="643"/>
        <item x="644"/>
        <item x="645"/>
        <item x="646"/>
        <item x="647"/>
        <item x="648"/>
        <item x="649"/>
        <item x="1323"/>
        <item x="650"/>
        <item x="651"/>
        <item x="652"/>
        <item x="1324"/>
        <item x="653"/>
        <item x="654"/>
        <item x="655"/>
        <item x="656"/>
        <item x="1325"/>
        <item x="657"/>
        <item x="658"/>
        <item x="659"/>
        <item x="660"/>
        <item x="1326"/>
        <item x="661"/>
        <item x="662"/>
        <item x="663"/>
        <item x="664"/>
        <item x="665"/>
        <item x="1327"/>
        <item x="666"/>
        <item x="667"/>
        <item x="1328"/>
        <item x="668"/>
        <item x="1329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1330"/>
        <item x="680"/>
        <item x="681"/>
        <item x="682"/>
        <item x="683"/>
        <item x="684"/>
        <item x="1331"/>
        <item x="685"/>
        <item x="1332"/>
        <item x="686"/>
        <item x="687"/>
        <item x="688"/>
        <item x="689"/>
        <item x="690"/>
        <item x="691"/>
        <item x="1333"/>
        <item x="692"/>
        <item x="1334"/>
        <item x="693"/>
        <item x="694"/>
        <item x="1335"/>
        <item x="695"/>
        <item x="696"/>
        <item x="697"/>
        <item x="698"/>
        <item x="1336"/>
        <item x="699"/>
        <item x="700"/>
        <item x="1337"/>
        <item x="701"/>
        <item x="702"/>
        <item x="703"/>
        <item x="704"/>
        <item x="705"/>
        <item x="1338"/>
        <item x="1339"/>
        <item x="706"/>
        <item x="707"/>
        <item x="708"/>
        <item x="709"/>
        <item x="710"/>
        <item x="134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1341"/>
        <item x="728"/>
        <item x="729"/>
        <item x="730"/>
        <item x="731"/>
        <item x="1342"/>
        <item x="732"/>
        <item x="733"/>
        <item x="734"/>
        <item x="735"/>
        <item x="736"/>
        <item x="737"/>
        <item x="738"/>
        <item x="739"/>
        <item x="1343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1344"/>
        <item x="1345"/>
        <item x="1346"/>
        <item x="754"/>
        <item x="755"/>
        <item x="756"/>
        <item x="1347"/>
        <item x="757"/>
        <item x="758"/>
        <item x="1348"/>
        <item x="1349"/>
        <item x="1350"/>
        <item x="759"/>
        <item x="760"/>
        <item x="761"/>
        <item x="1351"/>
        <item x="1352"/>
        <item x="762"/>
        <item x="763"/>
        <item x="1353"/>
        <item x="764"/>
        <item x="765"/>
        <item x="766"/>
        <item x="767"/>
        <item x="1354"/>
        <item x="768"/>
        <item x="769"/>
        <item x="1355"/>
        <item x="1356"/>
        <item x="1357"/>
        <item x="770"/>
        <item x="771"/>
        <item x="772"/>
        <item x="773"/>
        <item x="774"/>
        <item x="1358"/>
        <item x="775"/>
        <item x="776"/>
        <item x="777"/>
        <item x="778"/>
        <item x="779"/>
        <item x="780"/>
        <item x="781"/>
        <item x="782"/>
        <item x="783"/>
        <item x="1359"/>
        <item x="1360"/>
        <item x="784"/>
        <item x="1361"/>
        <item x="1362"/>
        <item x="1363"/>
        <item x="785"/>
        <item x="786"/>
        <item x="1364"/>
        <item x="787"/>
        <item x="788"/>
        <item x="789"/>
        <item x="790"/>
        <item x="791"/>
        <item x="1365"/>
        <item x="1366"/>
        <item x="1367"/>
        <item x="1368"/>
        <item x="1369"/>
        <item x="792"/>
        <item x="793"/>
        <item x="1370"/>
        <item x="794"/>
        <item x="1371"/>
        <item x="795"/>
        <item x="796"/>
        <item x="797"/>
        <item x="1372"/>
        <item x="1373"/>
        <item x="798"/>
        <item x="799"/>
        <item x="800"/>
        <item x="801"/>
        <item x="802"/>
        <item x="803"/>
        <item x="804"/>
        <item x="1374"/>
        <item x="805"/>
        <item x="1375"/>
        <item x="806"/>
        <item x="807"/>
        <item x="808"/>
        <item x="809"/>
        <item x="1376"/>
        <item x="1377"/>
        <item x="810"/>
        <item x="1378"/>
        <item x="1379"/>
        <item x="811"/>
        <item x="812"/>
        <item x="1380"/>
        <item x="813"/>
        <item x="1381"/>
        <item x="1382"/>
        <item x="814"/>
        <item x="815"/>
        <item x="1383"/>
        <item x="1384"/>
        <item x="816"/>
        <item x="817"/>
        <item x="1385"/>
        <item x="818"/>
        <item x="819"/>
        <item x="820"/>
        <item x="1386"/>
        <item x="821"/>
        <item x="822"/>
        <item x="1387"/>
        <item x="823"/>
        <item x="824"/>
        <item x="825"/>
        <item x="826"/>
        <item x="1388"/>
        <item x="827"/>
        <item x="1389"/>
        <item x="828"/>
        <item x="1390"/>
        <item x="1391"/>
        <item x="1392"/>
        <item x="1393"/>
        <item x="829"/>
        <item x="1394"/>
        <item x="1395"/>
        <item x="1396"/>
        <item x="1397"/>
        <item x="830"/>
        <item x="1398"/>
        <item x="831"/>
        <item x="832"/>
        <item x="833"/>
        <item x="1399"/>
        <item x="1400"/>
        <item x="834"/>
        <item x="1401"/>
        <item x="1402"/>
        <item x="1403"/>
        <item x="835"/>
        <item x="836"/>
        <item x="837"/>
        <item x="838"/>
        <item x="839"/>
        <item x="1404"/>
        <item x="1405"/>
        <item x="840"/>
        <item x="841"/>
        <item x="1406"/>
        <item x="1407"/>
        <item x="1408"/>
        <item x="842"/>
        <item x="1409"/>
        <item x="843"/>
        <item x="844"/>
        <item x="1410"/>
        <item x="845"/>
        <item x="846"/>
        <item x="847"/>
        <item x="848"/>
        <item x="849"/>
        <item x="850"/>
        <item x="1411"/>
        <item x="851"/>
        <item x="852"/>
        <item x="853"/>
        <item x="854"/>
        <item x="1412"/>
        <item x="855"/>
        <item x="1413"/>
        <item x="856"/>
        <item x="1414"/>
        <item x="857"/>
        <item x="858"/>
        <item x="1415"/>
        <item x="1416"/>
        <item x="859"/>
        <item x="860"/>
        <item x="861"/>
        <item x="1417"/>
        <item x="862"/>
        <item x="1418"/>
        <item x="863"/>
        <item x="864"/>
        <item x="865"/>
        <item x="1419"/>
        <item x="866"/>
        <item x="867"/>
        <item x="868"/>
        <item x="869"/>
        <item x="870"/>
        <item x="1420"/>
        <item x="1258"/>
        <item x="1421"/>
        <item x="1422"/>
        <item x="871"/>
        <item x="872"/>
        <item x="1423"/>
        <item x="1424"/>
        <item x="1425"/>
        <item x="1426"/>
        <item x="1427"/>
        <item x="1428"/>
        <item x="873"/>
        <item x="874"/>
        <item x="1429"/>
        <item x="875"/>
        <item x="1430"/>
        <item x="876"/>
        <item x="877"/>
        <item x="878"/>
        <item x="879"/>
        <item x="1431"/>
        <item x="1432"/>
        <item x="1433"/>
        <item x="880"/>
        <item x="881"/>
        <item x="1434"/>
        <item x="1435"/>
        <item x="882"/>
        <item x="883"/>
        <item x="884"/>
        <item x="885"/>
        <item x="1436"/>
        <item x="1437"/>
        <item x="1438"/>
        <item x="1439"/>
        <item x="1440"/>
        <item x="1441"/>
        <item x="1442"/>
        <item x="886"/>
        <item x="887"/>
        <item x="1443"/>
        <item x="1444"/>
        <item x="888"/>
        <item x="1445"/>
        <item x="889"/>
        <item x="890"/>
        <item x="891"/>
        <item x="892"/>
        <item x="1446"/>
        <item x="893"/>
        <item x="894"/>
        <item x="1447"/>
        <item x="895"/>
        <item x="896"/>
        <item x="1448"/>
        <item x="1449"/>
        <item x="897"/>
        <item x="898"/>
        <item x="1450"/>
        <item x="1451"/>
        <item x="899"/>
        <item x="900"/>
        <item x="1452"/>
        <item x="1453"/>
        <item x="1454"/>
        <item x="1455"/>
        <item x="1456"/>
        <item x="901"/>
        <item x="1457"/>
        <item x="902"/>
        <item x="903"/>
        <item x="904"/>
        <item x="905"/>
        <item x="906"/>
        <item x="907"/>
        <item x="908"/>
        <item x="909"/>
        <item x="1458"/>
        <item x="910"/>
        <item x="1459"/>
        <item x="1460"/>
        <item x="1461"/>
        <item x="1462"/>
        <item x="911"/>
        <item x="1463"/>
        <item x="1464"/>
        <item x="12"/>
        <item x="912"/>
        <item x="1465"/>
        <item x="1466"/>
        <item x="913"/>
        <item x="1467"/>
        <item x="1468"/>
        <item x="1469"/>
        <item x="914"/>
        <item x="1470"/>
        <item x="1471"/>
        <item x="915"/>
        <item x="1472"/>
        <item x="1473"/>
        <item x="13"/>
        <item x="916"/>
        <item x="1474"/>
        <item x="1475"/>
        <item x="1476"/>
        <item x="917"/>
        <item x="1477"/>
        <item x="1478"/>
        <item x="1479"/>
        <item x="918"/>
        <item x="1480"/>
        <item x="1481"/>
        <item x="919"/>
        <item x="1482"/>
        <item x="1483"/>
        <item x="920"/>
        <item x="921"/>
        <item x="922"/>
        <item x="1484"/>
        <item x="14"/>
        <item x="1485"/>
        <item x="1486"/>
        <item x="923"/>
        <item x="924"/>
        <item x="1487"/>
        <item x="925"/>
        <item x="1488"/>
        <item x="1489"/>
        <item x="926"/>
        <item x="1490"/>
        <item x="927"/>
        <item x="1491"/>
        <item x="1492"/>
        <item x="1493"/>
        <item x="1494"/>
        <item x="928"/>
        <item x="1495"/>
        <item x="1496"/>
        <item x="929"/>
        <item x="1497"/>
        <item x="1498"/>
        <item x="930"/>
        <item x="931"/>
        <item x="1499"/>
        <item x="1500"/>
        <item x="1501"/>
        <item x="1502"/>
        <item x="1503"/>
        <item x="1504"/>
        <item x="1505"/>
        <item x="1506"/>
        <item x="932"/>
        <item x="1507"/>
        <item x="1508"/>
        <item x="1509"/>
        <item x="1510"/>
        <item x="933"/>
        <item x="1511"/>
        <item x="1661"/>
        <item x="1512"/>
        <item x="1513"/>
        <item x="934"/>
        <item x="935"/>
        <item x="936"/>
        <item x="1514"/>
        <item x="1515"/>
        <item x="937"/>
        <item x="1516"/>
        <item x="938"/>
        <item x="1517"/>
        <item x="1518"/>
        <item x="939"/>
        <item x="1519"/>
        <item x="1520"/>
        <item x="1521"/>
        <item x="940"/>
        <item x="1522"/>
        <item x="1523"/>
        <item x="1666"/>
        <item x="941"/>
        <item x="1524"/>
        <item x="1657"/>
        <item x="1525"/>
        <item x="1526"/>
        <item x="942"/>
        <item x="1527"/>
        <item x="943"/>
        <item x="944"/>
        <item x="1528"/>
        <item x="945"/>
        <item x="1529"/>
        <item x="946"/>
        <item x="1530"/>
        <item x="1531"/>
        <item x="1532"/>
        <item x="1533"/>
        <item x="947"/>
        <item x="1534"/>
        <item x="948"/>
        <item x="1535"/>
        <item x="1536"/>
        <item x="1537"/>
        <item x="1538"/>
        <item x="1539"/>
        <item x="1540"/>
        <item x="1541"/>
        <item x="1542"/>
        <item x="1543"/>
        <item x="949"/>
        <item x="1544"/>
        <item x="950"/>
        <item x="1545"/>
        <item x="1546"/>
        <item x="1547"/>
        <item x="1548"/>
        <item x="1549"/>
        <item x="1550"/>
        <item x="951"/>
        <item x="1551"/>
        <item x="1552"/>
        <item x="952"/>
        <item x="953"/>
        <item x="1553"/>
        <item x="954"/>
        <item x="1554"/>
        <item x="1555"/>
        <item x="955"/>
        <item x="1556"/>
        <item x="1557"/>
        <item x="1558"/>
        <item x="1664"/>
        <item x="956"/>
        <item x="1559"/>
        <item x="957"/>
        <item x="1560"/>
        <item x="1561"/>
        <item x="1562"/>
        <item x="1563"/>
        <item x="958"/>
        <item x="1660"/>
        <item x="1564"/>
        <item x="1565"/>
        <item x="1662"/>
        <item x="959"/>
        <item x="1566"/>
        <item x="1567"/>
        <item x="960"/>
        <item x="1568"/>
        <item x="961"/>
        <item x="1569"/>
        <item x="962"/>
        <item x="1658"/>
        <item x="1570"/>
        <item x="1665"/>
        <item x="963"/>
        <item x="964"/>
        <item x="1571"/>
        <item x="15"/>
        <item x="1572"/>
        <item x="1573"/>
        <item x="1574"/>
        <item x="965"/>
        <item x="1575"/>
        <item x="1576"/>
        <item x="16"/>
        <item x="1577"/>
        <item x="1578"/>
        <item x="1659"/>
        <item x="966"/>
        <item x="967"/>
        <item x="968"/>
        <item x="1579"/>
        <item x="969"/>
        <item x="1580"/>
        <item x="1581"/>
        <item x="1582"/>
        <item x="1583"/>
        <item x="970"/>
        <item x="971"/>
        <item x="1584"/>
        <item x="1585"/>
        <item x="972"/>
        <item x="973"/>
        <item x="974"/>
        <item x="975"/>
        <item x="17"/>
        <item x="1663"/>
        <item x="976"/>
        <item x="1586"/>
        <item x="1587"/>
        <item x="1588"/>
        <item x="1671"/>
        <item x="1589"/>
        <item x="1668"/>
        <item x="1590"/>
        <item x="1591"/>
        <item x="1592"/>
        <item x="1593"/>
        <item x="1667"/>
        <item x="977"/>
        <item x="1594"/>
        <item x="1595"/>
        <item x="1596"/>
        <item x="1597"/>
        <item x="1598"/>
        <item x="1599"/>
        <item x="978"/>
        <item x="1600"/>
        <item x="1601"/>
        <item x="1602"/>
        <item x="1603"/>
        <item x="1604"/>
        <item x="979"/>
        <item x="980"/>
        <item x="1605"/>
        <item x="1606"/>
        <item x="1607"/>
        <item x="1608"/>
        <item x="1833"/>
        <item x="1609"/>
        <item x="1610"/>
        <item x="1611"/>
        <item x="1612"/>
        <item x="1613"/>
        <item x="981"/>
        <item x="1614"/>
        <item x="1615"/>
        <item x="1616"/>
        <item x="982"/>
        <item x="1617"/>
        <item x="18"/>
        <item x="19"/>
        <item x="983"/>
        <item x="1618"/>
        <item x="984"/>
        <item x="985"/>
        <item x="1619"/>
        <item x="1620"/>
        <item x="986"/>
        <item x="987"/>
        <item x="1621"/>
        <item x="1622"/>
        <item x="20"/>
        <item x="1623"/>
        <item x="1832"/>
        <item x="1624"/>
        <item x="1625"/>
        <item x="988"/>
        <item x="1626"/>
        <item x="1627"/>
        <item x="989"/>
        <item x="21"/>
        <item x="22"/>
        <item x="990"/>
        <item x="991"/>
        <item x="1628"/>
        <item x="1629"/>
        <item x="992"/>
        <item x="993"/>
        <item x="1630"/>
        <item x="994"/>
        <item x="995"/>
        <item x="996"/>
        <item x="997"/>
        <item x="998"/>
        <item x="999"/>
        <item x="1000"/>
        <item x="1001"/>
        <item x="23"/>
        <item x="1002"/>
        <item x="1631"/>
        <item x="24"/>
        <item x="25"/>
        <item x="1003"/>
        <item x="1004"/>
        <item x="1005"/>
        <item x="1006"/>
        <item x="1632"/>
        <item x="1758"/>
        <item x="26"/>
        <item x="27"/>
        <item x="28"/>
        <item x="1007"/>
        <item x="1008"/>
        <item x="1009"/>
        <item x="1010"/>
        <item x="29"/>
        <item x="1011"/>
        <item x="1012"/>
        <item x="30"/>
        <item x="31"/>
        <item x="1013"/>
        <item x="32"/>
        <item x="1633"/>
        <item x="1634"/>
        <item x="33"/>
        <item x="1268"/>
        <item x="1014"/>
        <item x="1015"/>
        <item x="1016"/>
        <item x="34"/>
        <item x="35"/>
        <item x="36"/>
        <item x="37"/>
        <item x="38"/>
        <item x="1017"/>
        <item x="1018"/>
        <item x="1019"/>
        <item x="1020"/>
        <item x="39"/>
        <item x="1021"/>
        <item x="40"/>
        <item x="1022"/>
        <item x="1023"/>
        <item x="1024"/>
        <item x="1025"/>
        <item x="1026"/>
        <item x="41"/>
        <item x="42"/>
        <item x="1824"/>
        <item x="1027"/>
        <item x="43"/>
        <item x="1028"/>
        <item x="44"/>
        <item x="45"/>
        <item x="46"/>
        <item x="1029"/>
        <item x="47"/>
        <item x="48"/>
        <item x="1030"/>
        <item x="49"/>
        <item x="50"/>
        <item x="51"/>
        <item x="52"/>
        <item x="1031"/>
        <item x="53"/>
        <item x="54"/>
        <item x="55"/>
        <item x="56"/>
        <item x="1635"/>
        <item x="57"/>
        <item x="58"/>
        <item x="59"/>
        <item x="1032"/>
        <item x="1689"/>
        <item x="60"/>
        <item x="61"/>
        <item x="1033"/>
        <item x="62"/>
        <item x="1034"/>
        <item x="63"/>
        <item x="1035"/>
        <item x="64"/>
        <item x="1036"/>
        <item x="65"/>
        <item x="1037"/>
        <item x="66"/>
        <item x="67"/>
        <item x="68"/>
        <item x="69"/>
        <item x="70"/>
        <item x="71"/>
        <item x="1038"/>
        <item x="1039"/>
        <item x="1636"/>
        <item x="72"/>
        <item x="1040"/>
        <item x="73"/>
        <item x="74"/>
        <item x="1041"/>
        <item x="75"/>
        <item x="76"/>
        <item x="77"/>
        <item x="1042"/>
        <item x="1043"/>
        <item x="78"/>
        <item x="79"/>
        <item x="1044"/>
        <item x="80"/>
        <item x="81"/>
        <item x="82"/>
        <item x="83"/>
        <item x="84"/>
        <item x="85"/>
        <item x="86"/>
        <item x="1637"/>
        <item x="87"/>
        <item x="88"/>
        <item x="89"/>
        <item x="1759"/>
        <item x="1638"/>
        <item x="90"/>
        <item x="91"/>
        <item x="92"/>
        <item x="93"/>
        <item x="1045"/>
        <item x="94"/>
        <item x="95"/>
        <item x="96"/>
        <item x="97"/>
        <item x="98"/>
        <item x="99"/>
        <item x="100"/>
        <item x="101"/>
        <item x="1046"/>
        <item x="102"/>
        <item x="1047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690"/>
        <item x="118"/>
        <item x="1830"/>
        <item x="1834"/>
        <item x="119"/>
        <item x="120"/>
        <item x="121"/>
        <item x="1048"/>
        <item x="122"/>
        <item x="1154"/>
        <item x="123"/>
        <item x="124"/>
        <item x="1155"/>
        <item x="1831"/>
        <item x="1826"/>
        <item x="1639"/>
        <item x="125"/>
        <item x="1796"/>
        <item x="126"/>
        <item x="1156"/>
        <item x="1827"/>
        <item x="1691"/>
        <item x="1794"/>
        <item x="127"/>
        <item x="1049"/>
        <item x="1795"/>
        <item x="1157"/>
        <item x="1257"/>
        <item x="1050"/>
        <item x="1828"/>
        <item x="1797"/>
        <item x="128"/>
        <item x="1115"/>
        <item x="129"/>
        <item x="1640"/>
        <item x="130"/>
        <item x="131"/>
        <item x="1672"/>
        <item x="1692"/>
        <item x="132"/>
        <item x="1051"/>
        <item x="1669"/>
        <item x="1693"/>
        <item x="1694"/>
        <item x="1695"/>
        <item x="1641"/>
        <item x="1696"/>
        <item x="133"/>
        <item x="134"/>
        <item x="1697"/>
        <item x="1698"/>
        <item x="1699"/>
        <item x="135"/>
        <item x="1052"/>
        <item x="1700"/>
        <item x="1701"/>
        <item x="1702"/>
        <item x="1703"/>
        <item x="1704"/>
        <item x="1705"/>
        <item x="1706"/>
        <item x="1707"/>
        <item x="1053"/>
        <item x="1708"/>
        <item x="1709"/>
        <item x="136"/>
        <item x="1192"/>
        <item x="1054"/>
        <item x="1710"/>
        <item x="1787"/>
        <item x="1711"/>
        <item x="1712"/>
        <item x="1713"/>
        <item x="1714"/>
        <item x="1055"/>
        <item x="1715"/>
        <item x="1716"/>
        <item x="1717"/>
        <item x="1718"/>
        <item x="1719"/>
        <item x="1720"/>
        <item x="1721"/>
        <item x="1056"/>
        <item x="1722"/>
        <item x="1723"/>
        <item x="1057"/>
        <item x="1058"/>
        <item x="1724"/>
        <item x="1725"/>
        <item x="1059"/>
        <item x="1126"/>
        <item x="1060"/>
        <item x="137"/>
        <item x="1734"/>
        <item x="1061"/>
        <item x="1137"/>
        <item x="1062"/>
        <item x="1277"/>
        <item x="1127"/>
        <item x="1670"/>
        <item x="1063"/>
        <item x="1193"/>
        <item x="1064"/>
        <item x="1065"/>
        <item x="1066"/>
        <item x="1642"/>
        <item x="1825"/>
        <item x="1067"/>
        <item x="1068"/>
        <item x="1128"/>
        <item x="1194"/>
        <item x="1069"/>
        <item x="1643"/>
        <item x="1195"/>
        <item x="1070"/>
        <item x="1129"/>
        <item x="1071"/>
        <item x="1072"/>
        <item x="1196"/>
        <item x="1073"/>
        <item x="1074"/>
        <item x="1075"/>
        <item x="1792"/>
        <item x="1197"/>
        <item x="1130"/>
        <item x="1198"/>
        <item x="1131"/>
        <item x="1076"/>
        <item x="1132"/>
        <item x="1077"/>
        <item x="1760"/>
        <item x="1078"/>
        <item x="1199"/>
        <item x="1079"/>
        <item x="1793"/>
        <item x="1080"/>
        <item x="1808"/>
        <item x="1200"/>
        <item x="1726"/>
        <item x="1158"/>
        <item x="1201"/>
        <item x="1081"/>
        <item x="1785"/>
        <item x="1082"/>
        <item x="1133"/>
        <item x="1159"/>
        <item x="1644"/>
        <item x="1083"/>
        <item x="1202"/>
        <item x="1786"/>
        <item x="1134"/>
        <item x="1203"/>
        <item x="1821"/>
        <item x="1204"/>
        <item x="1261"/>
        <item x="1084"/>
        <item x="1205"/>
        <item x="1791"/>
        <item x="1727"/>
        <item x="1085"/>
        <item x="1206"/>
        <item x="1086"/>
        <item x="1820"/>
        <item x="1728"/>
        <item x="1207"/>
        <item x="1208"/>
        <item x="1209"/>
        <item x="1729"/>
        <item x="1210"/>
        <item x="1800"/>
        <item x="1645"/>
        <item x="1087"/>
        <item x="1211"/>
        <item x="1212"/>
        <item x="1278"/>
        <item x="1807"/>
        <item x="1279"/>
        <item x="1813"/>
        <item x="1160"/>
        <item x="1213"/>
        <item x="1835"/>
        <item x="1799"/>
        <item x="1818"/>
        <item x="1214"/>
        <item x="1730"/>
        <item x="1810"/>
        <item x="1088"/>
        <item x="1215"/>
        <item x="1731"/>
        <item x="1280"/>
        <item x="1216"/>
        <item x="1814"/>
        <item x="1646"/>
        <item x="1135"/>
        <item x="1789"/>
        <item x="1089"/>
        <item x="1281"/>
        <item x="1217"/>
        <item x="1218"/>
        <item x="1219"/>
        <item x="1647"/>
        <item x="1220"/>
        <item x="1282"/>
        <item x="1221"/>
        <item x="1222"/>
        <item x="1811"/>
        <item x="1223"/>
        <item x="1224"/>
        <item x="1225"/>
        <item x="1806"/>
        <item x="1226"/>
        <item x="1283"/>
        <item x="1227"/>
        <item x="1284"/>
        <item x="1228"/>
        <item x="1285"/>
        <item x="1648"/>
        <item x="138"/>
        <item x="1649"/>
        <item x="1802"/>
        <item x="1229"/>
        <item x="1286"/>
        <item x="1287"/>
        <item x="1230"/>
        <item x="1231"/>
        <item x="1232"/>
        <item x="1650"/>
        <item x="1233"/>
        <item x="1822"/>
        <item x="1651"/>
        <item x="1234"/>
        <item x="1652"/>
        <item x="1235"/>
        <item x="1653"/>
        <item x="1090"/>
        <item x="1803"/>
        <item x="1236"/>
        <item x="1237"/>
        <item x="1238"/>
        <item x="1239"/>
        <item x="1790"/>
        <item x="1240"/>
        <item x="1241"/>
        <item x="1242"/>
        <item x="1091"/>
        <item x="1288"/>
        <item x="1804"/>
        <item x="1243"/>
        <item x="1809"/>
        <item x="1262"/>
        <item x="1244"/>
        <item x="1654"/>
        <item x="1245"/>
        <item x="1655"/>
        <item x="1161"/>
        <item x="1823"/>
        <item x="1801"/>
        <item x="1246"/>
        <item x="1247"/>
        <item x="1248"/>
        <item x="1249"/>
        <item x="1250"/>
        <item x="1251"/>
        <item x="1263"/>
        <item x="1252"/>
        <item x="1805"/>
        <item x="1798"/>
        <item x="1136"/>
        <item x="1816"/>
        <item x="1732"/>
        <item x="1253"/>
        <item x="1254"/>
        <item x="1255"/>
        <item x="1264"/>
        <item x="1656"/>
        <item x="1815"/>
        <item x="1256"/>
        <item x="1817"/>
        <item x="1829"/>
        <item h="1" x="1777"/>
        <item h="1" x="0"/>
        <item x="1099"/>
        <item h="1" x="1812"/>
        <item h="1" x="1097"/>
        <item h="1" x="1788"/>
        <item h="1" x="1163"/>
        <item h="1" x="1819"/>
        <item t="default"/>
      </items>
    </pivotField>
    <pivotField dataField="1" showAll="0"/>
    <pivotField axis="axisPage" multipleItemSelectionAllowed="1" showAll="0">
      <items count="11">
        <item x="4"/>
        <item x="1"/>
        <item x="0"/>
        <item x="6"/>
        <item h="1" x="5"/>
        <item x="8"/>
        <item x="7"/>
        <item x="2"/>
        <item x="9"/>
        <item x="3"/>
        <item t="default"/>
      </items>
    </pivotField>
    <pivotField showAll="0"/>
    <pivotField showAll="0"/>
    <pivotField showAll="0"/>
    <pivotField axis="axisRow" showAll="0">
      <items count="2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6"/>
        <item x="23"/>
        <item x="24"/>
        <item x="25"/>
        <item t="default"/>
      </items>
    </pivotField>
    <pivotField numFmtId="14" showAll="0"/>
    <pivotField axis="axisCol" showAll="0">
      <items count="13">
        <item x="11"/>
        <item x="10"/>
        <item x="6"/>
        <item x="9"/>
        <item x="8"/>
        <item x="7"/>
        <item x="5"/>
        <item x="4"/>
        <item x="2"/>
        <item x="3"/>
        <item x="1"/>
        <item x="0"/>
        <item t="default"/>
      </items>
    </pivotField>
    <pivotField showAll="0"/>
    <pivotField showAll="0"/>
    <pivotField axis="axisPage" multipleItemSelectionAllowed="1" showAll="0">
      <items count="5">
        <item x="1"/>
        <item h="1" x="2"/>
        <item h="1" x="0"/>
        <item h="1" x="3"/>
        <item t="default"/>
      </items>
    </pivotField>
    <pivotField showAll="0"/>
    <pivotField showAll="0"/>
    <pivotField showAll="0" defaultSubtotal="0"/>
  </pivotFields>
  <rowFields count="1">
    <field x="6"/>
  </rowFields>
  <rowItems count="16">
    <i>
      <x v="1"/>
    </i>
    <i>
      <x v="2"/>
    </i>
    <i>
      <x v="3"/>
    </i>
    <i>
      <x v="4"/>
    </i>
    <i>
      <x v="8"/>
    </i>
    <i>
      <x v="9"/>
    </i>
    <i>
      <x v="14"/>
    </i>
    <i>
      <x v="15"/>
    </i>
    <i>
      <x v="16"/>
    </i>
    <i>
      <x v="19"/>
    </i>
    <i>
      <x v="20"/>
    </i>
    <i>
      <x v="21"/>
    </i>
    <i>
      <x v="23"/>
    </i>
    <i>
      <x v="24"/>
    </i>
    <i>
      <x v="25"/>
    </i>
    <i t="grand">
      <x/>
    </i>
  </rowItems>
  <colFields count="1">
    <field x="8"/>
  </colFields>
  <colItems count="5">
    <i>
      <x v="8"/>
    </i>
    <i>
      <x v="9"/>
    </i>
    <i>
      <x v="10"/>
    </i>
    <i>
      <x v="11"/>
    </i>
    <i t="grand">
      <x/>
    </i>
  </colItems>
  <pageFields count="3">
    <pageField fld="11" hier="-1"/>
    <pageField fld="0" hier="-1"/>
    <pageField fld="2" hier="-1"/>
  </pageFields>
  <dataFields count="1">
    <dataField name="Sum of הוצאות פיתוח" fld="1" baseField="6" baseItem="8"/>
  </dataFields>
  <formats count="1">
    <format dxfId="35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grandTotalCaption="יח&quot;ד ששווקו עד כה במסגרת הסכמי הגג" updatedVersion="5" minRefreshableVersion="3" useAutoFormatting="1" itemPrintTitles="1" createdVersion="5" indent="0" outline="1" outlineData="1" multipleFieldFilters="0">
  <location ref="A29:F46" firstHeaderRow="1" firstDataRow="2" firstDataCol="1" rowPageCount="3" colPageCount="1"/>
  <pivotFields count="15">
    <pivotField axis="axisPage" multipleItemSelectionAllowed="1" showAll="0">
      <items count="1837">
        <item x="1168"/>
        <item x="1267"/>
        <item x="1269"/>
        <item x="1270"/>
        <item x="1271"/>
        <item x="1272"/>
        <item x="1162"/>
        <item x="1116"/>
        <item x="1"/>
        <item x="1106"/>
        <item x="2"/>
        <item x="1105"/>
        <item x="1104"/>
        <item x="1117"/>
        <item x="1289"/>
        <item x="1092"/>
        <item x="1118"/>
        <item x="1119"/>
        <item x="1098"/>
        <item x="1120"/>
        <item x="1095"/>
        <item x="139"/>
        <item x="1290"/>
        <item x="1291"/>
        <item x="1292"/>
        <item x="1102"/>
        <item x="3"/>
        <item x="1101"/>
        <item x="1121"/>
        <item x="1122"/>
        <item x="4"/>
        <item x="1100"/>
        <item x="1093"/>
        <item x="1103"/>
        <item x="1096"/>
        <item x="1094"/>
        <item x="5"/>
        <item x="6"/>
        <item x="140"/>
        <item x="1123"/>
        <item x="141"/>
        <item x="7"/>
        <item x="8"/>
        <item x="142"/>
        <item x="9"/>
        <item x="1124"/>
        <item x="143"/>
        <item x="1114"/>
        <item x="1107"/>
        <item x="1125"/>
        <item x="1781"/>
        <item x="1780"/>
        <item x="1273"/>
        <item x="1761"/>
        <item x="1765"/>
        <item x="1766"/>
        <item x="1769"/>
        <item x="1784"/>
        <item x="1768"/>
        <item x="1770"/>
        <item x="1767"/>
        <item x="1772"/>
        <item x="1774"/>
        <item x="1776"/>
        <item x="1274"/>
        <item x="1778"/>
        <item x="1775"/>
        <item x="1275"/>
        <item x="1764"/>
        <item x="1771"/>
        <item x="1773"/>
        <item x="1779"/>
        <item x="1762"/>
        <item x="1782"/>
        <item x="1276"/>
        <item x="1763"/>
        <item x="1783"/>
        <item x="10"/>
        <item x="1138"/>
        <item x="1139"/>
        <item x="1140"/>
        <item x="1169"/>
        <item x="1141"/>
        <item x="1142"/>
        <item x="1143"/>
        <item x="1755"/>
        <item x="1673"/>
        <item x="1144"/>
        <item x="1674"/>
        <item x="1756"/>
        <item x="1145"/>
        <item x="1675"/>
        <item x="1146"/>
        <item x="1147"/>
        <item x="1170"/>
        <item x="1757"/>
        <item x="1171"/>
        <item x="1148"/>
        <item x="1733"/>
        <item x="1676"/>
        <item x="1149"/>
        <item x="1150"/>
        <item x="1172"/>
        <item x="1677"/>
        <item x="1151"/>
        <item x="1152"/>
        <item x="1678"/>
        <item x="1746"/>
        <item x="1173"/>
        <item x="1174"/>
        <item x="1175"/>
        <item x="1679"/>
        <item x="1153"/>
        <item x="1266"/>
        <item x="1176"/>
        <item x="1177"/>
        <item x="1166"/>
        <item x="1750"/>
        <item x="1178"/>
        <item x="1737"/>
        <item x="1164"/>
        <item x="1265"/>
        <item x="1179"/>
        <item x="1259"/>
        <item x="1180"/>
        <item x="1181"/>
        <item x="1680"/>
        <item x="1744"/>
        <item x="1749"/>
        <item x="1681"/>
        <item x="1182"/>
        <item x="1682"/>
        <item x="1683"/>
        <item x="1736"/>
        <item x="1751"/>
        <item x="1684"/>
        <item x="1685"/>
        <item x="1686"/>
        <item x="1738"/>
        <item x="1260"/>
        <item x="1753"/>
        <item x="1752"/>
        <item x="1741"/>
        <item x="1743"/>
        <item x="1183"/>
        <item x="1184"/>
        <item x="1748"/>
        <item x="1185"/>
        <item x="1742"/>
        <item x="1186"/>
        <item x="1735"/>
        <item x="1739"/>
        <item x="1745"/>
        <item x="1165"/>
        <item x="1187"/>
        <item x="1754"/>
        <item x="1747"/>
        <item x="1188"/>
        <item x="1189"/>
        <item x="1190"/>
        <item x="1740"/>
        <item x="1191"/>
        <item x="1167"/>
        <item x="1687"/>
        <item x="1688"/>
        <item x="1108"/>
        <item x="1109"/>
        <item x="1110"/>
        <item x="1111"/>
        <item x="1112"/>
        <item x="111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1293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1294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1295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1296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1297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1298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1299"/>
        <item x="443"/>
        <item x="444"/>
        <item x="445"/>
        <item x="446"/>
        <item x="447"/>
        <item x="1300"/>
        <item x="448"/>
        <item x="449"/>
        <item x="450"/>
        <item x="451"/>
        <item x="452"/>
        <item x="453"/>
        <item x="454"/>
        <item x="455"/>
        <item x="456"/>
        <item x="1301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1302"/>
        <item x="511"/>
        <item x="512"/>
        <item x="513"/>
        <item x="514"/>
        <item x="515"/>
        <item x="516"/>
        <item x="517"/>
        <item x="518"/>
        <item x="519"/>
        <item x="1303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130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1305"/>
        <item x="549"/>
        <item x="550"/>
        <item x="551"/>
        <item x="552"/>
        <item x="553"/>
        <item x="554"/>
        <item x="1306"/>
        <item x="555"/>
        <item x="556"/>
        <item x="1307"/>
        <item x="557"/>
        <item x="1308"/>
        <item x="1309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1310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1311"/>
        <item x="594"/>
        <item x="595"/>
        <item x="1312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1313"/>
        <item x="1314"/>
        <item x="612"/>
        <item x="1315"/>
        <item x="613"/>
        <item x="614"/>
        <item x="615"/>
        <item x="616"/>
        <item x="617"/>
        <item x="618"/>
        <item x="11"/>
        <item x="1316"/>
        <item x="619"/>
        <item x="620"/>
        <item x="1317"/>
        <item x="621"/>
        <item x="1318"/>
        <item x="622"/>
        <item x="623"/>
        <item x="624"/>
        <item x="625"/>
        <item x="626"/>
        <item x="627"/>
        <item x="628"/>
        <item x="629"/>
        <item x="1319"/>
        <item x="630"/>
        <item x="631"/>
        <item x="632"/>
        <item x="633"/>
        <item x="634"/>
        <item x="635"/>
        <item x="636"/>
        <item x="1320"/>
        <item x="1321"/>
        <item x="637"/>
        <item x="638"/>
        <item x="639"/>
        <item x="640"/>
        <item x="641"/>
        <item x="642"/>
        <item x="1322"/>
        <item x="643"/>
        <item x="644"/>
        <item x="645"/>
        <item x="646"/>
        <item x="647"/>
        <item x="648"/>
        <item x="649"/>
        <item x="1323"/>
        <item x="650"/>
        <item x="651"/>
        <item x="652"/>
        <item x="1324"/>
        <item x="653"/>
        <item x="654"/>
        <item x="655"/>
        <item x="656"/>
        <item x="1325"/>
        <item x="657"/>
        <item x="658"/>
        <item x="659"/>
        <item x="660"/>
        <item x="1326"/>
        <item x="661"/>
        <item x="662"/>
        <item x="663"/>
        <item x="664"/>
        <item x="665"/>
        <item x="1327"/>
        <item x="666"/>
        <item x="667"/>
        <item x="1328"/>
        <item x="668"/>
        <item x="1329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1330"/>
        <item x="680"/>
        <item x="681"/>
        <item x="682"/>
        <item x="683"/>
        <item x="684"/>
        <item x="1331"/>
        <item x="685"/>
        <item x="1332"/>
        <item x="686"/>
        <item x="687"/>
        <item x="688"/>
        <item x="689"/>
        <item x="690"/>
        <item x="691"/>
        <item x="1333"/>
        <item x="692"/>
        <item x="1334"/>
        <item x="693"/>
        <item x="694"/>
        <item x="1335"/>
        <item x="695"/>
        <item x="696"/>
        <item x="697"/>
        <item x="698"/>
        <item x="1336"/>
        <item x="699"/>
        <item x="700"/>
        <item x="1337"/>
        <item x="701"/>
        <item x="702"/>
        <item x="703"/>
        <item x="704"/>
        <item x="705"/>
        <item x="1338"/>
        <item x="1339"/>
        <item x="706"/>
        <item x="707"/>
        <item x="708"/>
        <item x="709"/>
        <item x="710"/>
        <item x="134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1341"/>
        <item x="728"/>
        <item x="729"/>
        <item x="730"/>
        <item x="731"/>
        <item x="1342"/>
        <item x="732"/>
        <item x="733"/>
        <item x="734"/>
        <item x="735"/>
        <item x="736"/>
        <item x="737"/>
        <item x="738"/>
        <item x="739"/>
        <item x="1343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1344"/>
        <item x="1345"/>
        <item x="1346"/>
        <item x="754"/>
        <item x="755"/>
        <item x="756"/>
        <item x="1347"/>
        <item x="757"/>
        <item x="758"/>
        <item x="1348"/>
        <item x="1349"/>
        <item x="1350"/>
        <item x="759"/>
        <item x="760"/>
        <item x="761"/>
        <item x="1351"/>
        <item x="1352"/>
        <item x="762"/>
        <item x="763"/>
        <item x="1353"/>
        <item x="764"/>
        <item x="765"/>
        <item x="766"/>
        <item x="767"/>
        <item x="1354"/>
        <item x="768"/>
        <item x="769"/>
        <item x="1355"/>
        <item x="1356"/>
        <item x="1357"/>
        <item x="770"/>
        <item x="771"/>
        <item x="772"/>
        <item x="773"/>
        <item x="774"/>
        <item x="1358"/>
        <item x="775"/>
        <item x="776"/>
        <item x="777"/>
        <item x="778"/>
        <item x="779"/>
        <item x="780"/>
        <item x="781"/>
        <item x="782"/>
        <item x="783"/>
        <item x="1359"/>
        <item x="1360"/>
        <item x="784"/>
        <item x="1361"/>
        <item x="1362"/>
        <item x="1363"/>
        <item x="785"/>
        <item x="786"/>
        <item x="1364"/>
        <item x="787"/>
        <item x="788"/>
        <item x="789"/>
        <item x="790"/>
        <item x="791"/>
        <item x="1365"/>
        <item x="1366"/>
        <item x="1367"/>
        <item x="1368"/>
        <item x="1369"/>
        <item x="792"/>
        <item x="793"/>
        <item x="1370"/>
        <item x="794"/>
        <item x="1371"/>
        <item x="795"/>
        <item x="796"/>
        <item x="797"/>
        <item x="1372"/>
        <item x="1373"/>
        <item x="798"/>
        <item x="799"/>
        <item x="800"/>
        <item x="801"/>
        <item x="802"/>
        <item x="803"/>
        <item x="804"/>
        <item x="1374"/>
        <item x="805"/>
        <item x="1375"/>
        <item x="806"/>
        <item x="807"/>
        <item x="808"/>
        <item x="809"/>
        <item x="1376"/>
        <item x="1377"/>
        <item x="810"/>
        <item x="1378"/>
        <item x="1379"/>
        <item x="811"/>
        <item x="812"/>
        <item x="1380"/>
        <item x="813"/>
        <item x="1381"/>
        <item x="1382"/>
        <item x="814"/>
        <item x="815"/>
        <item x="1383"/>
        <item x="1384"/>
        <item x="816"/>
        <item x="817"/>
        <item x="1385"/>
        <item x="818"/>
        <item x="819"/>
        <item x="820"/>
        <item x="1386"/>
        <item x="821"/>
        <item x="822"/>
        <item x="1387"/>
        <item x="823"/>
        <item x="824"/>
        <item x="825"/>
        <item x="826"/>
        <item x="1388"/>
        <item x="827"/>
        <item x="1389"/>
        <item x="828"/>
        <item x="1390"/>
        <item x="1391"/>
        <item x="1392"/>
        <item x="1393"/>
        <item x="829"/>
        <item x="1394"/>
        <item x="1395"/>
        <item x="1396"/>
        <item x="1397"/>
        <item x="830"/>
        <item x="1398"/>
        <item x="831"/>
        <item x="832"/>
        <item x="833"/>
        <item x="1399"/>
        <item x="1400"/>
        <item x="834"/>
        <item x="1401"/>
        <item x="1402"/>
        <item x="1403"/>
        <item x="835"/>
        <item x="836"/>
        <item x="837"/>
        <item x="838"/>
        <item x="839"/>
        <item x="1404"/>
        <item x="1405"/>
        <item x="840"/>
        <item x="841"/>
        <item x="1406"/>
        <item x="1407"/>
        <item x="1408"/>
        <item x="842"/>
        <item x="1409"/>
        <item x="843"/>
        <item x="844"/>
        <item x="1410"/>
        <item x="845"/>
        <item x="846"/>
        <item x="847"/>
        <item x="848"/>
        <item x="849"/>
        <item x="850"/>
        <item x="1411"/>
        <item x="851"/>
        <item x="852"/>
        <item x="853"/>
        <item x="854"/>
        <item x="1412"/>
        <item x="855"/>
        <item x="1413"/>
        <item x="856"/>
        <item x="1414"/>
        <item x="857"/>
        <item x="858"/>
        <item x="1415"/>
        <item x="1416"/>
        <item x="859"/>
        <item x="860"/>
        <item x="861"/>
        <item x="1417"/>
        <item x="862"/>
        <item x="1418"/>
        <item x="863"/>
        <item x="864"/>
        <item x="865"/>
        <item x="1419"/>
        <item x="866"/>
        <item x="867"/>
        <item x="868"/>
        <item x="869"/>
        <item x="870"/>
        <item x="1420"/>
        <item x="1258"/>
        <item x="1421"/>
        <item x="1422"/>
        <item x="871"/>
        <item x="872"/>
        <item x="1423"/>
        <item x="1424"/>
        <item x="1425"/>
        <item x="1426"/>
        <item x="1427"/>
        <item x="1428"/>
        <item x="873"/>
        <item x="874"/>
        <item x="1429"/>
        <item x="875"/>
        <item x="1430"/>
        <item x="876"/>
        <item x="877"/>
        <item x="878"/>
        <item x="879"/>
        <item x="1431"/>
        <item x="1432"/>
        <item x="1433"/>
        <item x="880"/>
        <item x="881"/>
        <item x="1434"/>
        <item x="1435"/>
        <item x="882"/>
        <item x="883"/>
        <item x="884"/>
        <item x="885"/>
        <item x="1436"/>
        <item x="1437"/>
        <item x="1438"/>
        <item x="1439"/>
        <item x="1440"/>
        <item x="1441"/>
        <item x="1442"/>
        <item x="886"/>
        <item x="887"/>
        <item x="1443"/>
        <item x="1444"/>
        <item x="888"/>
        <item x="1445"/>
        <item x="889"/>
        <item x="890"/>
        <item x="891"/>
        <item x="892"/>
        <item x="1446"/>
        <item x="893"/>
        <item x="894"/>
        <item x="1447"/>
        <item x="895"/>
        <item x="896"/>
        <item x="1448"/>
        <item x="1449"/>
        <item x="897"/>
        <item x="898"/>
        <item x="1450"/>
        <item x="1451"/>
        <item x="899"/>
        <item x="900"/>
        <item x="1452"/>
        <item x="1453"/>
        <item x="1454"/>
        <item x="1455"/>
        <item x="1456"/>
        <item x="901"/>
        <item x="1457"/>
        <item x="902"/>
        <item x="903"/>
        <item x="904"/>
        <item x="905"/>
        <item x="906"/>
        <item x="907"/>
        <item x="908"/>
        <item x="909"/>
        <item x="1458"/>
        <item x="910"/>
        <item x="1459"/>
        <item x="1460"/>
        <item x="1461"/>
        <item x="1462"/>
        <item x="911"/>
        <item x="1463"/>
        <item x="1464"/>
        <item x="12"/>
        <item x="912"/>
        <item x="1465"/>
        <item x="1466"/>
        <item x="913"/>
        <item x="1467"/>
        <item x="1468"/>
        <item x="1469"/>
        <item x="914"/>
        <item x="1470"/>
        <item x="1471"/>
        <item x="915"/>
        <item x="1472"/>
        <item x="1473"/>
        <item x="13"/>
        <item x="916"/>
        <item x="1474"/>
        <item x="1475"/>
        <item x="1476"/>
        <item x="917"/>
        <item x="1477"/>
        <item x="1478"/>
        <item x="1479"/>
        <item x="918"/>
        <item x="1480"/>
        <item x="1481"/>
        <item x="919"/>
        <item x="1482"/>
        <item x="1483"/>
        <item x="920"/>
        <item x="921"/>
        <item x="922"/>
        <item x="1484"/>
        <item x="14"/>
        <item x="1485"/>
        <item x="1486"/>
        <item x="923"/>
        <item x="924"/>
        <item x="1487"/>
        <item x="925"/>
        <item x="1488"/>
        <item x="1489"/>
        <item x="926"/>
        <item x="1490"/>
        <item x="927"/>
        <item x="1491"/>
        <item x="1492"/>
        <item x="1493"/>
        <item x="1494"/>
        <item x="928"/>
        <item x="1495"/>
        <item x="1496"/>
        <item x="929"/>
        <item x="1497"/>
        <item x="1498"/>
        <item x="930"/>
        <item x="931"/>
        <item x="1499"/>
        <item x="1500"/>
        <item x="1501"/>
        <item x="1502"/>
        <item x="1503"/>
        <item x="1504"/>
        <item x="1505"/>
        <item x="1506"/>
        <item x="932"/>
        <item x="1507"/>
        <item x="1508"/>
        <item x="1509"/>
        <item x="1510"/>
        <item x="933"/>
        <item x="1511"/>
        <item x="1661"/>
        <item x="1512"/>
        <item x="1513"/>
        <item x="934"/>
        <item x="935"/>
        <item x="936"/>
        <item x="1514"/>
        <item x="1515"/>
        <item x="937"/>
        <item x="1516"/>
        <item x="938"/>
        <item x="1517"/>
        <item x="1518"/>
        <item x="939"/>
        <item x="1519"/>
        <item x="1520"/>
        <item x="1521"/>
        <item x="940"/>
        <item x="1522"/>
        <item x="1523"/>
        <item x="1666"/>
        <item x="941"/>
        <item x="1524"/>
        <item x="1657"/>
        <item x="1525"/>
        <item x="1526"/>
        <item x="942"/>
        <item x="1527"/>
        <item x="943"/>
        <item x="944"/>
        <item x="1528"/>
        <item x="945"/>
        <item x="1529"/>
        <item x="946"/>
        <item x="1530"/>
        <item x="1531"/>
        <item x="1532"/>
        <item x="1533"/>
        <item x="947"/>
        <item x="1534"/>
        <item x="948"/>
        <item x="1535"/>
        <item x="1536"/>
        <item x="1537"/>
        <item x="1538"/>
        <item x="1539"/>
        <item x="1540"/>
        <item x="1541"/>
        <item x="1542"/>
        <item x="1543"/>
        <item x="949"/>
        <item x="1544"/>
        <item x="950"/>
        <item x="1545"/>
        <item x="1546"/>
        <item x="1547"/>
        <item x="1548"/>
        <item x="1549"/>
        <item x="1550"/>
        <item x="951"/>
        <item x="1551"/>
        <item x="1552"/>
        <item x="952"/>
        <item x="953"/>
        <item x="1553"/>
        <item x="954"/>
        <item x="1554"/>
        <item x="1555"/>
        <item x="955"/>
        <item x="1556"/>
        <item x="1557"/>
        <item x="1558"/>
        <item x="1664"/>
        <item x="956"/>
        <item x="1559"/>
        <item x="957"/>
        <item x="1560"/>
        <item x="1561"/>
        <item x="1562"/>
        <item x="1563"/>
        <item x="958"/>
        <item x="1660"/>
        <item x="1564"/>
        <item x="1565"/>
        <item x="1662"/>
        <item x="959"/>
        <item x="1566"/>
        <item x="1567"/>
        <item x="960"/>
        <item x="1568"/>
        <item x="961"/>
        <item x="1569"/>
        <item x="962"/>
        <item x="1658"/>
        <item x="1570"/>
        <item x="1665"/>
        <item x="963"/>
        <item x="964"/>
        <item x="1571"/>
        <item x="15"/>
        <item x="1572"/>
        <item x="1573"/>
        <item x="1574"/>
        <item x="965"/>
        <item x="1575"/>
        <item x="1576"/>
        <item x="16"/>
        <item x="1577"/>
        <item x="1578"/>
        <item x="1659"/>
        <item x="966"/>
        <item x="967"/>
        <item x="968"/>
        <item x="1579"/>
        <item x="969"/>
        <item x="1580"/>
        <item x="1581"/>
        <item x="1582"/>
        <item x="1583"/>
        <item x="970"/>
        <item x="971"/>
        <item x="1584"/>
        <item x="1585"/>
        <item x="972"/>
        <item x="973"/>
        <item x="974"/>
        <item x="975"/>
        <item x="17"/>
        <item x="1663"/>
        <item x="976"/>
        <item x="1586"/>
        <item x="1587"/>
        <item x="1588"/>
        <item x="1671"/>
        <item x="1589"/>
        <item x="1668"/>
        <item x="1590"/>
        <item x="1591"/>
        <item x="1592"/>
        <item x="1593"/>
        <item x="1667"/>
        <item x="977"/>
        <item x="1594"/>
        <item x="1595"/>
        <item x="1596"/>
        <item x="1597"/>
        <item x="1598"/>
        <item x="1599"/>
        <item x="978"/>
        <item x="1600"/>
        <item x="1601"/>
        <item x="1602"/>
        <item x="1603"/>
        <item x="1604"/>
        <item x="979"/>
        <item x="980"/>
        <item x="1605"/>
        <item x="1606"/>
        <item x="1607"/>
        <item x="1608"/>
        <item x="1833"/>
        <item x="1609"/>
        <item x="1610"/>
        <item x="1611"/>
        <item x="1612"/>
        <item x="1613"/>
        <item x="981"/>
        <item x="1614"/>
        <item x="1615"/>
        <item x="1616"/>
        <item x="982"/>
        <item x="1617"/>
        <item x="18"/>
        <item x="19"/>
        <item x="983"/>
        <item x="1618"/>
        <item x="984"/>
        <item x="985"/>
        <item x="1619"/>
        <item x="1620"/>
        <item x="986"/>
        <item x="987"/>
        <item x="1621"/>
        <item x="1622"/>
        <item x="20"/>
        <item x="1623"/>
        <item x="1832"/>
        <item x="1624"/>
        <item x="1625"/>
        <item x="988"/>
        <item x="1626"/>
        <item x="1627"/>
        <item x="989"/>
        <item x="21"/>
        <item x="22"/>
        <item x="990"/>
        <item x="991"/>
        <item x="1628"/>
        <item x="1629"/>
        <item x="992"/>
        <item x="993"/>
        <item x="1630"/>
        <item x="994"/>
        <item x="995"/>
        <item x="996"/>
        <item x="997"/>
        <item x="998"/>
        <item x="999"/>
        <item x="1000"/>
        <item x="1001"/>
        <item x="23"/>
        <item x="1002"/>
        <item x="1631"/>
        <item x="24"/>
        <item x="25"/>
        <item x="1003"/>
        <item x="1004"/>
        <item x="1005"/>
        <item x="1006"/>
        <item x="1632"/>
        <item x="1758"/>
        <item x="26"/>
        <item x="27"/>
        <item x="28"/>
        <item x="1007"/>
        <item x="1008"/>
        <item x="1009"/>
        <item x="1010"/>
        <item x="29"/>
        <item x="1011"/>
        <item x="1012"/>
        <item x="30"/>
        <item x="31"/>
        <item x="1013"/>
        <item x="32"/>
        <item x="1633"/>
        <item x="1634"/>
        <item x="33"/>
        <item x="1268"/>
        <item x="1014"/>
        <item x="1015"/>
        <item x="1016"/>
        <item x="34"/>
        <item x="35"/>
        <item x="36"/>
        <item x="37"/>
        <item x="38"/>
        <item x="1017"/>
        <item x="1018"/>
        <item x="1019"/>
        <item x="1020"/>
        <item x="39"/>
        <item x="1021"/>
        <item x="40"/>
        <item x="1022"/>
        <item x="1023"/>
        <item x="1024"/>
        <item x="1025"/>
        <item x="1026"/>
        <item x="41"/>
        <item x="42"/>
        <item x="1824"/>
        <item x="1027"/>
        <item x="43"/>
        <item x="1028"/>
        <item x="44"/>
        <item x="45"/>
        <item x="46"/>
        <item x="1029"/>
        <item x="47"/>
        <item x="48"/>
        <item x="1030"/>
        <item x="49"/>
        <item x="50"/>
        <item x="51"/>
        <item x="52"/>
        <item x="1031"/>
        <item x="53"/>
        <item x="54"/>
        <item x="55"/>
        <item x="56"/>
        <item x="1635"/>
        <item x="57"/>
        <item x="58"/>
        <item x="59"/>
        <item x="1032"/>
        <item x="1689"/>
        <item x="60"/>
        <item x="61"/>
        <item x="1033"/>
        <item x="62"/>
        <item x="1034"/>
        <item x="63"/>
        <item x="1035"/>
        <item x="64"/>
        <item x="1036"/>
        <item x="65"/>
        <item x="1037"/>
        <item x="66"/>
        <item x="67"/>
        <item x="68"/>
        <item x="69"/>
        <item x="70"/>
        <item x="71"/>
        <item x="1038"/>
        <item x="1039"/>
        <item x="1636"/>
        <item x="72"/>
        <item x="1040"/>
        <item x="73"/>
        <item x="74"/>
        <item x="1041"/>
        <item x="75"/>
        <item x="76"/>
        <item x="77"/>
        <item x="1042"/>
        <item x="1043"/>
        <item x="78"/>
        <item x="79"/>
        <item x="1044"/>
        <item x="80"/>
        <item x="81"/>
        <item x="82"/>
        <item x="83"/>
        <item x="84"/>
        <item x="85"/>
        <item x="86"/>
        <item x="1637"/>
        <item x="87"/>
        <item x="88"/>
        <item x="89"/>
        <item x="1759"/>
        <item x="1638"/>
        <item x="90"/>
        <item x="91"/>
        <item x="92"/>
        <item x="93"/>
        <item x="1045"/>
        <item x="94"/>
        <item x="95"/>
        <item x="96"/>
        <item x="97"/>
        <item x="98"/>
        <item x="99"/>
        <item x="100"/>
        <item x="101"/>
        <item x="1046"/>
        <item x="102"/>
        <item x="1047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690"/>
        <item x="118"/>
        <item x="1830"/>
        <item x="1834"/>
        <item x="119"/>
        <item x="120"/>
        <item x="121"/>
        <item x="1048"/>
        <item x="122"/>
        <item x="1154"/>
        <item x="123"/>
        <item x="124"/>
        <item x="1155"/>
        <item x="1831"/>
        <item x="1826"/>
        <item x="1639"/>
        <item x="125"/>
        <item x="1796"/>
        <item x="126"/>
        <item x="1156"/>
        <item x="1827"/>
        <item x="1691"/>
        <item x="1794"/>
        <item x="127"/>
        <item x="1049"/>
        <item x="1795"/>
        <item x="1157"/>
        <item x="1257"/>
        <item x="1050"/>
        <item x="1828"/>
        <item x="1797"/>
        <item x="128"/>
        <item x="1115"/>
        <item x="129"/>
        <item x="1640"/>
        <item x="130"/>
        <item x="131"/>
        <item x="1672"/>
        <item x="1692"/>
        <item x="132"/>
        <item x="1051"/>
        <item x="1669"/>
        <item x="1693"/>
        <item x="1694"/>
        <item x="1695"/>
        <item x="1641"/>
        <item x="1696"/>
        <item x="133"/>
        <item x="134"/>
        <item x="1697"/>
        <item x="1698"/>
        <item x="1699"/>
        <item x="135"/>
        <item x="1052"/>
        <item x="1700"/>
        <item x="1701"/>
        <item x="1702"/>
        <item x="1703"/>
        <item x="1704"/>
        <item x="1705"/>
        <item x="1706"/>
        <item x="1707"/>
        <item x="1053"/>
        <item x="1708"/>
        <item x="1709"/>
        <item x="136"/>
        <item x="1192"/>
        <item x="1054"/>
        <item x="1710"/>
        <item x="1787"/>
        <item x="1711"/>
        <item x="1712"/>
        <item x="1713"/>
        <item x="1714"/>
        <item x="1055"/>
        <item x="1715"/>
        <item x="1716"/>
        <item x="1717"/>
        <item x="1718"/>
        <item x="1719"/>
        <item x="1720"/>
        <item x="1721"/>
        <item x="1056"/>
        <item x="1722"/>
        <item x="1723"/>
        <item x="1057"/>
        <item x="1058"/>
        <item x="1724"/>
        <item x="1725"/>
        <item x="1059"/>
        <item x="1126"/>
        <item x="1060"/>
        <item x="137"/>
        <item x="1734"/>
        <item x="1061"/>
        <item x="1137"/>
        <item x="1062"/>
        <item x="1277"/>
        <item x="1127"/>
        <item x="1670"/>
        <item x="1063"/>
        <item x="1193"/>
        <item x="1064"/>
        <item x="1065"/>
        <item x="1066"/>
        <item x="1642"/>
        <item x="1825"/>
        <item x="1067"/>
        <item x="1068"/>
        <item x="1128"/>
        <item x="1194"/>
        <item x="1069"/>
        <item x="1643"/>
        <item x="1195"/>
        <item x="1070"/>
        <item x="1129"/>
        <item x="1071"/>
        <item x="1072"/>
        <item x="1196"/>
        <item x="1073"/>
        <item x="1074"/>
        <item x="1075"/>
        <item x="1792"/>
        <item x="1197"/>
        <item x="1130"/>
        <item x="1198"/>
        <item x="1131"/>
        <item x="1076"/>
        <item x="1132"/>
        <item x="1077"/>
        <item x="1760"/>
        <item x="1078"/>
        <item x="1199"/>
        <item x="1079"/>
        <item x="1793"/>
        <item x="1080"/>
        <item x="1808"/>
        <item x="1200"/>
        <item x="1726"/>
        <item x="1158"/>
        <item x="1201"/>
        <item x="1081"/>
        <item x="1785"/>
        <item x="1082"/>
        <item x="1133"/>
        <item x="1159"/>
        <item x="1644"/>
        <item x="1083"/>
        <item x="1202"/>
        <item x="1786"/>
        <item x="1134"/>
        <item x="1203"/>
        <item x="1821"/>
        <item x="1204"/>
        <item x="1261"/>
        <item x="1084"/>
        <item x="1205"/>
        <item x="1791"/>
        <item x="1727"/>
        <item x="1085"/>
        <item x="1206"/>
        <item x="1086"/>
        <item x="1820"/>
        <item x="1728"/>
        <item x="1207"/>
        <item x="1208"/>
        <item x="1209"/>
        <item x="1729"/>
        <item x="1210"/>
        <item x="1800"/>
        <item x="1645"/>
        <item x="1087"/>
        <item x="1211"/>
        <item x="1212"/>
        <item x="1278"/>
        <item x="1807"/>
        <item x="1279"/>
        <item x="1813"/>
        <item x="1160"/>
        <item x="1213"/>
        <item x="1835"/>
        <item x="1799"/>
        <item x="1818"/>
        <item x="1214"/>
        <item x="1730"/>
        <item x="1810"/>
        <item x="1088"/>
        <item x="1215"/>
        <item x="1731"/>
        <item x="1280"/>
        <item x="1216"/>
        <item x="1814"/>
        <item x="1646"/>
        <item x="1135"/>
        <item x="1789"/>
        <item x="1089"/>
        <item x="1281"/>
        <item x="1217"/>
        <item x="1218"/>
        <item x="1219"/>
        <item x="1647"/>
        <item x="1220"/>
        <item x="1282"/>
        <item x="1221"/>
        <item x="1222"/>
        <item x="1811"/>
        <item x="1223"/>
        <item x="1224"/>
        <item x="1225"/>
        <item x="1806"/>
        <item x="1226"/>
        <item x="1283"/>
        <item x="1227"/>
        <item x="1284"/>
        <item x="1228"/>
        <item x="1285"/>
        <item x="1648"/>
        <item x="138"/>
        <item x="1649"/>
        <item x="1802"/>
        <item x="1229"/>
        <item x="1286"/>
        <item x="1287"/>
        <item x="1230"/>
        <item x="1231"/>
        <item x="1232"/>
        <item x="1650"/>
        <item x="1233"/>
        <item x="1822"/>
        <item x="1651"/>
        <item x="1234"/>
        <item x="1652"/>
        <item x="1235"/>
        <item x="1653"/>
        <item x="1090"/>
        <item x="1803"/>
        <item x="1236"/>
        <item x="1237"/>
        <item x="1238"/>
        <item x="1239"/>
        <item x="1790"/>
        <item x="1240"/>
        <item x="1241"/>
        <item x="1242"/>
        <item x="1091"/>
        <item x="1288"/>
        <item x="1804"/>
        <item x="1243"/>
        <item x="1809"/>
        <item x="1262"/>
        <item x="1244"/>
        <item x="1654"/>
        <item x="1245"/>
        <item x="1655"/>
        <item x="1161"/>
        <item x="1823"/>
        <item x="1801"/>
        <item x="1246"/>
        <item x="1247"/>
        <item x="1248"/>
        <item x="1249"/>
        <item x="1250"/>
        <item x="1251"/>
        <item x="1263"/>
        <item x="1252"/>
        <item x="1805"/>
        <item x="1798"/>
        <item x="1136"/>
        <item x="1816"/>
        <item x="1732"/>
        <item x="1253"/>
        <item x="1254"/>
        <item x="1255"/>
        <item x="1264"/>
        <item x="1656"/>
        <item x="1815"/>
        <item x="1256"/>
        <item x="1817"/>
        <item x="1829"/>
        <item h="1" x="1777"/>
        <item h="1" x="0"/>
        <item x="1099"/>
        <item h="1" x="1812"/>
        <item h="1" x="1097"/>
        <item h="1" x="1788"/>
        <item h="1" x="1163"/>
        <item h="1" x="1819"/>
        <item t="default"/>
      </items>
    </pivotField>
    <pivotField showAll="0"/>
    <pivotField axis="axisPage" multipleItemSelectionAllowed="1" showAll="0">
      <items count="11">
        <item h="1" x="4"/>
        <item x="1"/>
        <item x="0"/>
        <item x="6"/>
        <item h="1" x="5"/>
        <item x="8"/>
        <item x="7"/>
        <item x="2"/>
        <item h="1" x="9"/>
        <item h="1" x="3"/>
        <item t="default"/>
      </items>
    </pivotField>
    <pivotField showAll="0"/>
    <pivotField showAll="0"/>
    <pivotField showAll="0"/>
    <pivotField axis="axisRow" showAll="0">
      <items count="2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6"/>
        <item x="23"/>
        <item x="24"/>
        <item x="25"/>
        <item t="default"/>
      </items>
    </pivotField>
    <pivotField numFmtId="14" showAll="0"/>
    <pivotField axis="axisCol" showAll="0">
      <items count="13">
        <item x="11"/>
        <item x="10"/>
        <item x="6"/>
        <item x="9"/>
        <item x="8"/>
        <item x="7"/>
        <item x="5"/>
        <item x="4"/>
        <item x="2"/>
        <item x="3"/>
        <item x="1"/>
        <item x="0"/>
        <item t="default"/>
      </items>
    </pivotField>
    <pivotField showAll="0"/>
    <pivotField showAll="0"/>
    <pivotField axis="axisPage" multipleItemSelectionAllowed="1" showAll="0">
      <items count="5">
        <item x="1"/>
        <item h="1" x="2"/>
        <item h="1" x="0"/>
        <item h="1" x="3"/>
        <item t="default"/>
      </items>
    </pivotField>
    <pivotField dataField="1" showAll="0"/>
    <pivotField showAll="0"/>
    <pivotField showAll="0" defaultSubtotal="0"/>
  </pivotFields>
  <rowFields count="1">
    <field x="6"/>
  </rowFields>
  <rowItems count="16">
    <i>
      <x v="1"/>
    </i>
    <i>
      <x v="2"/>
    </i>
    <i>
      <x v="3"/>
    </i>
    <i>
      <x v="4"/>
    </i>
    <i>
      <x v="8"/>
    </i>
    <i>
      <x v="9"/>
    </i>
    <i>
      <x v="14"/>
    </i>
    <i>
      <x v="15"/>
    </i>
    <i>
      <x v="16"/>
    </i>
    <i>
      <x v="19"/>
    </i>
    <i>
      <x v="20"/>
    </i>
    <i>
      <x v="21"/>
    </i>
    <i>
      <x v="23"/>
    </i>
    <i>
      <x v="24"/>
    </i>
    <i>
      <x v="25"/>
    </i>
    <i t="grand">
      <x/>
    </i>
  </rowItems>
  <colFields count="1">
    <field x="8"/>
  </colFields>
  <colItems count="5">
    <i>
      <x v="8"/>
    </i>
    <i>
      <x v="9"/>
    </i>
    <i>
      <x v="10"/>
    </i>
    <i>
      <x v="11"/>
    </i>
    <i t="grand">
      <x/>
    </i>
  </colItems>
  <pageFields count="3">
    <pageField fld="11" hier="-1"/>
    <pageField fld="0" hier="-1"/>
    <pageField fld="2" hier="-1"/>
  </pageFields>
  <dataFields count="1">
    <dataField name="Sum of מס' יח&quot;ד" fld="12" baseField="6" baseItem="0" numFmtId="164"/>
  </dataFields>
  <formats count="2">
    <format dxfId="37">
      <pivotArea outline="0" collapsedLevelsAreSubtotals="1" fieldPosition="0"/>
    </format>
    <format dxfId="36">
      <pivotArea dataOnly="0" labelOnly="1" grandCol="1" outline="0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5:F22" firstHeaderRow="1" firstDataRow="2" firstDataCol="1" rowPageCount="3" colPageCount="1"/>
  <pivotFields count="15">
    <pivotField axis="axisPage" multipleItemSelectionAllowed="1" showAll="0">
      <items count="1837">
        <item x="1168"/>
        <item x="1267"/>
        <item x="1269"/>
        <item x="1270"/>
        <item x="1271"/>
        <item x="1272"/>
        <item x="1162"/>
        <item x="1116"/>
        <item x="1"/>
        <item x="1106"/>
        <item x="2"/>
        <item x="1105"/>
        <item x="1104"/>
        <item x="1117"/>
        <item x="1289"/>
        <item x="1092"/>
        <item x="1118"/>
        <item x="1119"/>
        <item x="1098"/>
        <item x="1120"/>
        <item x="1095"/>
        <item x="139"/>
        <item x="1290"/>
        <item x="1291"/>
        <item x="1292"/>
        <item x="1102"/>
        <item x="3"/>
        <item x="1101"/>
        <item x="1121"/>
        <item x="1122"/>
        <item x="4"/>
        <item x="1100"/>
        <item x="1093"/>
        <item x="1103"/>
        <item x="1096"/>
        <item x="1094"/>
        <item x="5"/>
        <item x="6"/>
        <item x="140"/>
        <item x="1123"/>
        <item x="141"/>
        <item x="7"/>
        <item x="8"/>
        <item x="142"/>
        <item x="9"/>
        <item x="1124"/>
        <item x="143"/>
        <item x="1114"/>
        <item x="1107"/>
        <item x="1125"/>
        <item x="1781"/>
        <item x="1780"/>
        <item x="1273"/>
        <item x="1761"/>
        <item x="1765"/>
        <item x="1766"/>
        <item x="1769"/>
        <item x="1784"/>
        <item x="1768"/>
        <item x="1770"/>
        <item x="1767"/>
        <item x="1772"/>
        <item x="1774"/>
        <item x="1776"/>
        <item x="1274"/>
        <item x="1778"/>
        <item x="1775"/>
        <item x="1275"/>
        <item x="1764"/>
        <item x="1771"/>
        <item x="1773"/>
        <item x="1779"/>
        <item x="1762"/>
        <item x="1782"/>
        <item x="1276"/>
        <item x="1763"/>
        <item x="1783"/>
        <item x="10"/>
        <item x="1138"/>
        <item x="1139"/>
        <item x="1140"/>
        <item x="1169"/>
        <item x="1141"/>
        <item x="1142"/>
        <item x="1143"/>
        <item x="1755"/>
        <item x="1673"/>
        <item x="1144"/>
        <item x="1674"/>
        <item x="1756"/>
        <item x="1145"/>
        <item x="1675"/>
        <item x="1146"/>
        <item x="1147"/>
        <item x="1170"/>
        <item x="1757"/>
        <item x="1171"/>
        <item x="1148"/>
        <item x="1733"/>
        <item x="1676"/>
        <item x="1149"/>
        <item x="1150"/>
        <item x="1172"/>
        <item x="1677"/>
        <item x="1151"/>
        <item x="1152"/>
        <item x="1678"/>
        <item x="1746"/>
        <item x="1173"/>
        <item x="1174"/>
        <item x="1175"/>
        <item x="1679"/>
        <item x="1153"/>
        <item x="1266"/>
        <item x="1176"/>
        <item x="1177"/>
        <item x="1166"/>
        <item x="1750"/>
        <item x="1178"/>
        <item x="1737"/>
        <item x="1164"/>
        <item x="1265"/>
        <item x="1179"/>
        <item x="1259"/>
        <item x="1180"/>
        <item x="1181"/>
        <item x="1680"/>
        <item x="1744"/>
        <item x="1749"/>
        <item x="1681"/>
        <item x="1182"/>
        <item x="1682"/>
        <item x="1683"/>
        <item x="1736"/>
        <item x="1751"/>
        <item x="1684"/>
        <item x="1685"/>
        <item x="1686"/>
        <item x="1738"/>
        <item x="1260"/>
        <item x="1753"/>
        <item x="1752"/>
        <item x="1741"/>
        <item x="1743"/>
        <item x="1183"/>
        <item x="1184"/>
        <item x="1748"/>
        <item x="1185"/>
        <item x="1742"/>
        <item x="1186"/>
        <item x="1735"/>
        <item x="1739"/>
        <item x="1745"/>
        <item x="1165"/>
        <item x="1187"/>
        <item x="1754"/>
        <item x="1747"/>
        <item x="1188"/>
        <item x="1189"/>
        <item x="1190"/>
        <item x="1740"/>
        <item x="1191"/>
        <item x="1167"/>
        <item x="1687"/>
        <item x="1688"/>
        <item x="1108"/>
        <item x="1109"/>
        <item x="1110"/>
        <item x="1111"/>
        <item x="1112"/>
        <item x="111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1293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1294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1295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1296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1297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1298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1299"/>
        <item x="443"/>
        <item x="444"/>
        <item x="445"/>
        <item x="446"/>
        <item x="447"/>
        <item x="1300"/>
        <item x="448"/>
        <item x="449"/>
        <item x="450"/>
        <item x="451"/>
        <item x="452"/>
        <item x="453"/>
        <item x="454"/>
        <item x="455"/>
        <item x="456"/>
        <item x="1301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1302"/>
        <item x="511"/>
        <item x="512"/>
        <item x="513"/>
        <item x="514"/>
        <item x="515"/>
        <item x="516"/>
        <item x="517"/>
        <item x="518"/>
        <item x="519"/>
        <item x="1303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130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1305"/>
        <item x="549"/>
        <item x="550"/>
        <item x="551"/>
        <item x="552"/>
        <item x="553"/>
        <item x="554"/>
        <item x="1306"/>
        <item x="555"/>
        <item x="556"/>
        <item x="1307"/>
        <item x="557"/>
        <item x="1308"/>
        <item x="1309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1310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1311"/>
        <item x="594"/>
        <item x="595"/>
        <item x="1312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1313"/>
        <item x="1314"/>
        <item x="612"/>
        <item x="1315"/>
        <item x="613"/>
        <item x="614"/>
        <item x="615"/>
        <item x="616"/>
        <item x="617"/>
        <item x="618"/>
        <item x="11"/>
        <item x="1316"/>
        <item x="619"/>
        <item x="620"/>
        <item x="1317"/>
        <item x="621"/>
        <item x="1318"/>
        <item x="622"/>
        <item x="623"/>
        <item x="624"/>
        <item x="625"/>
        <item x="626"/>
        <item x="627"/>
        <item x="628"/>
        <item x="629"/>
        <item x="1319"/>
        <item x="630"/>
        <item x="631"/>
        <item x="632"/>
        <item x="633"/>
        <item x="634"/>
        <item x="635"/>
        <item x="636"/>
        <item x="1320"/>
        <item x="1321"/>
        <item x="637"/>
        <item x="638"/>
        <item x="639"/>
        <item x="640"/>
        <item x="641"/>
        <item x="642"/>
        <item x="1322"/>
        <item x="643"/>
        <item x="644"/>
        <item x="645"/>
        <item x="646"/>
        <item x="647"/>
        <item x="648"/>
        <item x="649"/>
        <item x="1323"/>
        <item x="650"/>
        <item x="651"/>
        <item x="652"/>
        <item x="1324"/>
        <item x="653"/>
        <item x="654"/>
        <item x="655"/>
        <item x="656"/>
        <item x="1325"/>
        <item x="657"/>
        <item x="658"/>
        <item x="659"/>
        <item x="660"/>
        <item x="1326"/>
        <item x="661"/>
        <item x="662"/>
        <item x="663"/>
        <item x="664"/>
        <item x="665"/>
        <item x="1327"/>
        <item x="666"/>
        <item x="667"/>
        <item x="1328"/>
        <item x="668"/>
        <item x="1329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1330"/>
        <item x="680"/>
        <item x="681"/>
        <item x="682"/>
        <item x="683"/>
        <item x="684"/>
        <item x="1331"/>
        <item x="685"/>
        <item x="1332"/>
        <item x="686"/>
        <item x="687"/>
        <item x="688"/>
        <item x="689"/>
        <item x="690"/>
        <item x="691"/>
        <item x="1333"/>
        <item x="692"/>
        <item x="1334"/>
        <item x="693"/>
        <item x="694"/>
        <item x="1335"/>
        <item x="695"/>
        <item x="696"/>
        <item x="697"/>
        <item x="698"/>
        <item x="1336"/>
        <item x="699"/>
        <item x="700"/>
        <item x="1337"/>
        <item x="701"/>
        <item x="702"/>
        <item x="703"/>
        <item x="704"/>
        <item x="705"/>
        <item x="1338"/>
        <item x="1339"/>
        <item x="706"/>
        <item x="707"/>
        <item x="708"/>
        <item x="709"/>
        <item x="710"/>
        <item x="134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1341"/>
        <item x="728"/>
        <item x="729"/>
        <item x="730"/>
        <item x="731"/>
        <item x="1342"/>
        <item x="732"/>
        <item x="733"/>
        <item x="734"/>
        <item x="735"/>
        <item x="736"/>
        <item x="737"/>
        <item x="738"/>
        <item x="739"/>
        <item x="1343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1344"/>
        <item x="1345"/>
        <item x="1346"/>
        <item x="754"/>
        <item x="755"/>
        <item x="756"/>
        <item x="1347"/>
        <item x="757"/>
        <item x="758"/>
        <item x="1348"/>
        <item x="1349"/>
        <item x="1350"/>
        <item x="759"/>
        <item x="760"/>
        <item x="761"/>
        <item x="1351"/>
        <item x="1352"/>
        <item x="762"/>
        <item x="763"/>
        <item x="1353"/>
        <item x="764"/>
        <item x="765"/>
        <item x="766"/>
        <item x="767"/>
        <item x="1354"/>
        <item x="768"/>
        <item x="769"/>
        <item x="1355"/>
        <item x="1356"/>
        <item x="1357"/>
        <item x="770"/>
        <item x="771"/>
        <item x="772"/>
        <item x="773"/>
        <item x="774"/>
        <item x="1358"/>
        <item x="775"/>
        <item x="776"/>
        <item x="777"/>
        <item x="778"/>
        <item x="779"/>
        <item x="780"/>
        <item x="781"/>
        <item x="782"/>
        <item x="783"/>
        <item x="1359"/>
        <item x="1360"/>
        <item x="784"/>
        <item x="1361"/>
        <item x="1362"/>
        <item x="1363"/>
        <item x="785"/>
        <item x="786"/>
        <item x="1364"/>
        <item x="787"/>
        <item x="788"/>
        <item x="789"/>
        <item x="790"/>
        <item x="791"/>
        <item x="1365"/>
        <item x="1366"/>
        <item x="1367"/>
        <item x="1368"/>
        <item x="1369"/>
        <item x="792"/>
        <item x="793"/>
        <item x="1370"/>
        <item x="794"/>
        <item x="1371"/>
        <item x="795"/>
        <item x="796"/>
        <item x="797"/>
        <item x="1372"/>
        <item x="1373"/>
        <item x="798"/>
        <item x="799"/>
        <item x="800"/>
        <item x="801"/>
        <item x="802"/>
        <item x="803"/>
        <item x="804"/>
        <item x="1374"/>
        <item x="805"/>
        <item x="1375"/>
        <item x="806"/>
        <item x="807"/>
        <item x="808"/>
        <item x="809"/>
        <item x="1376"/>
        <item x="1377"/>
        <item x="810"/>
        <item x="1378"/>
        <item x="1379"/>
        <item x="811"/>
        <item x="812"/>
        <item x="1380"/>
        <item x="813"/>
        <item x="1381"/>
        <item x="1382"/>
        <item x="814"/>
        <item x="815"/>
        <item x="1383"/>
        <item x="1384"/>
        <item x="816"/>
        <item x="817"/>
        <item x="1385"/>
        <item x="818"/>
        <item x="819"/>
        <item x="820"/>
        <item x="1386"/>
        <item x="821"/>
        <item x="822"/>
        <item x="1387"/>
        <item x="823"/>
        <item x="824"/>
        <item x="825"/>
        <item x="826"/>
        <item x="1388"/>
        <item x="827"/>
        <item x="1389"/>
        <item x="828"/>
        <item x="1390"/>
        <item x="1391"/>
        <item x="1392"/>
        <item x="1393"/>
        <item x="829"/>
        <item x="1394"/>
        <item x="1395"/>
        <item x="1396"/>
        <item x="1397"/>
        <item x="830"/>
        <item x="1398"/>
        <item x="831"/>
        <item x="832"/>
        <item x="833"/>
        <item x="1399"/>
        <item x="1400"/>
        <item x="834"/>
        <item x="1401"/>
        <item x="1402"/>
        <item x="1403"/>
        <item x="835"/>
        <item x="836"/>
        <item x="837"/>
        <item x="838"/>
        <item x="839"/>
        <item x="1404"/>
        <item x="1405"/>
        <item x="840"/>
        <item x="841"/>
        <item x="1406"/>
        <item x="1407"/>
        <item x="1408"/>
        <item x="842"/>
        <item x="1409"/>
        <item x="843"/>
        <item x="844"/>
        <item x="1410"/>
        <item x="845"/>
        <item x="846"/>
        <item x="847"/>
        <item x="848"/>
        <item x="849"/>
        <item x="850"/>
        <item x="1411"/>
        <item x="851"/>
        <item x="852"/>
        <item x="853"/>
        <item x="854"/>
        <item x="1412"/>
        <item x="855"/>
        <item x="1413"/>
        <item x="856"/>
        <item x="1414"/>
        <item x="857"/>
        <item x="858"/>
        <item x="1415"/>
        <item x="1416"/>
        <item x="859"/>
        <item x="860"/>
        <item x="861"/>
        <item x="1417"/>
        <item x="862"/>
        <item x="1418"/>
        <item x="863"/>
        <item x="864"/>
        <item x="865"/>
        <item x="1419"/>
        <item x="866"/>
        <item x="867"/>
        <item x="868"/>
        <item x="869"/>
        <item x="870"/>
        <item x="1420"/>
        <item x="1258"/>
        <item x="1421"/>
        <item x="1422"/>
        <item x="871"/>
        <item x="872"/>
        <item x="1423"/>
        <item x="1424"/>
        <item x="1425"/>
        <item x="1426"/>
        <item x="1427"/>
        <item x="1428"/>
        <item x="873"/>
        <item x="874"/>
        <item x="1429"/>
        <item x="875"/>
        <item x="1430"/>
        <item x="876"/>
        <item x="877"/>
        <item x="878"/>
        <item x="879"/>
        <item x="1431"/>
        <item x="1432"/>
        <item x="1433"/>
        <item x="880"/>
        <item x="881"/>
        <item x="1434"/>
        <item x="1435"/>
        <item x="882"/>
        <item x="883"/>
        <item x="884"/>
        <item x="885"/>
        <item x="1436"/>
        <item x="1437"/>
        <item x="1438"/>
        <item x="1439"/>
        <item x="1440"/>
        <item x="1441"/>
        <item x="1442"/>
        <item x="886"/>
        <item x="887"/>
        <item x="1443"/>
        <item x="1444"/>
        <item x="888"/>
        <item x="1445"/>
        <item x="889"/>
        <item x="890"/>
        <item x="891"/>
        <item x="892"/>
        <item x="1446"/>
        <item x="893"/>
        <item x="894"/>
        <item x="1447"/>
        <item x="895"/>
        <item x="896"/>
        <item x="1448"/>
        <item x="1449"/>
        <item x="897"/>
        <item x="898"/>
        <item x="1450"/>
        <item x="1451"/>
        <item x="899"/>
        <item x="900"/>
        <item x="1452"/>
        <item x="1453"/>
        <item x="1454"/>
        <item x="1455"/>
        <item x="1456"/>
        <item x="901"/>
        <item x="1457"/>
        <item x="902"/>
        <item x="903"/>
        <item x="904"/>
        <item x="905"/>
        <item x="906"/>
        <item x="907"/>
        <item x="908"/>
        <item x="909"/>
        <item x="1458"/>
        <item x="910"/>
        <item x="1459"/>
        <item x="1460"/>
        <item x="1461"/>
        <item x="1462"/>
        <item x="911"/>
        <item x="1463"/>
        <item x="1464"/>
        <item x="12"/>
        <item x="912"/>
        <item x="1465"/>
        <item x="1466"/>
        <item x="913"/>
        <item x="1467"/>
        <item x="1468"/>
        <item x="1469"/>
        <item x="914"/>
        <item x="1470"/>
        <item x="1471"/>
        <item x="915"/>
        <item x="1472"/>
        <item x="1473"/>
        <item x="13"/>
        <item x="916"/>
        <item x="1474"/>
        <item x="1475"/>
        <item x="1476"/>
        <item x="917"/>
        <item x="1477"/>
        <item x="1478"/>
        <item x="1479"/>
        <item x="918"/>
        <item x="1480"/>
        <item x="1481"/>
        <item x="919"/>
        <item x="1482"/>
        <item x="1483"/>
        <item x="920"/>
        <item x="921"/>
        <item x="922"/>
        <item x="1484"/>
        <item x="14"/>
        <item x="1485"/>
        <item x="1486"/>
        <item x="923"/>
        <item x="924"/>
        <item x="1487"/>
        <item x="925"/>
        <item x="1488"/>
        <item x="1489"/>
        <item x="926"/>
        <item x="1490"/>
        <item x="927"/>
        <item x="1491"/>
        <item x="1492"/>
        <item x="1493"/>
        <item x="1494"/>
        <item x="928"/>
        <item x="1495"/>
        <item x="1496"/>
        <item x="929"/>
        <item x="1497"/>
        <item x="1498"/>
        <item x="930"/>
        <item x="931"/>
        <item x="1499"/>
        <item x="1500"/>
        <item x="1501"/>
        <item x="1502"/>
        <item x="1503"/>
        <item x="1504"/>
        <item x="1505"/>
        <item x="1506"/>
        <item x="932"/>
        <item x="1507"/>
        <item x="1508"/>
        <item x="1509"/>
        <item x="1510"/>
        <item x="933"/>
        <item x="1511"/>
        <item x="1661"/>
        <item x="1512"/>
        <item x="1513"/>
        <item x="934"/>
        <item x="935"/>
        <item x="936"/>
        <item x="1514"/>
        <item x="1515"/>
        <item x="937"/>
        <item x="1516"/>
        <item x="938"/>
        <item x="1517"/>
        <item x="1518"/>
        <item x="939"/>
        <item x="1519"/>
        <item x="1520"/>
        <item x="1521"/>
        <item x="940"/>
        <item x="1522"/>
        <item x="1523"/>
        <item x="1666"/>
        <item x="941"/>
        <item x="1524"/>
        <item x="1657"/>
        <item x="1525"/>
        <item x="1526"/>
        <item x="942"/>
        <item x="1527"/>
        <item x="943"/>
        <item x="944"/>
        <item x="1528"/>
        <item x="945"/>
        <item x="1529"/>
        <item x="946"/>
        <item x="1530"/>
        <item x="1531"/>
        <item x="1532"/>
        <item x="1533"/>
        <item x="947"/>
        <item x="1534"/>
        <item x="948"/>
        <item x="1535"/>
        <item x="1536"/>
        <item x="1537"/>
        <item x="1538"/>
        <item x="1539"/>
        <item x="1540"/>
        <item x="1541"/>
        <item x="1542"/>
        <item x="1543"/>
        <item x="949"/>
        <item x="1544"/>
        <item x="950"/>
        <item x="1545"/>
        <item x="1546"/>
        <item x="1547"/>
        <item x="1548"/>
        <item x="1549"/>
        <item x="1550"/>
        <item x="951"/>
        <item x="1551"/>
        <item x="1552"/>
        <item x="952"/>
        <item x="953"/>
        <item x="1553"/>
        <item x="954"/>
        <item x="1554"/>
        <item x="1555"/>
        <item x="955"/>
        <item x="1556"/>
        <item x="1557"/>
        <item x="1558"/>
        <item x="1664"/>
        <item x="956"/>
        <item x="1559"/>
        <item x="957"/>
        <item x="1560"/>
        <item x="1561"/>
        <item x="1562"/>
        <item x="1563"/>
        <item x="958"/>
        <item x="1660"/>
        <item x="1564"/>
        <item x="1565"/>
        <item x="1662"/>
        <item x="959"/>
        <item x="1566"/>
        <item x="1567"/>
        <item x="960"/>
        <item x="1568"/>
        <item x="961"/>
        <item x="1569"/>
        <item x="962"/>
        <item x="1658"/>
        <item x="1570"/>
        <item x="1665"/>
        <item x="963"/>
        <item x="964"/>
        <item x="1571"/>
        <item x="15"/>
        <item x="1572"/>
        <item x="1573"/>
        <item x="1574"/>
        <item x="965"/>
        <item x="1575"/>
        <item x="1576"/>
        <item x="16"/>
        <item x="1577"/>
        <item x="1578"/>
        <item x="1659"/>
        <item x="966"/>
        <item x="967"/>
        <item x="968"/>
        <item x="1579"/>
        <item x="969"/>
        <item x="1580"/>
        <item x="1581"/>
        <item x="1582"/>
        <item x="1583"/>
        <item x="970"/>
        <item x="971"/>
        <item x="1584"/>
        <item x="1585"/>
        <item x="972"/>
        <item x="973"/>
        <item x="974"/>
        <item x="975"/>
        <item x="17"/>
        <item x="1663"/>
        <item x="976"/>
        <item x="1586"/>
        <item x="1587"/>
        <item x="1588"/>
        <item x="1671"/>
        <item x="1589"/>
        <item x="1668"/>
        <item x="1590"/>
        <item x="1591"/>
        <item x="1592"/>
        <item x="1593"/>
        <item x="1667"/>
        <item x="977"/>
        <item x="1594"/>
        <item x="1595"/>
        <item x="1596"/>
        <item x="1597"/>
        <item x="1598"/>
        <item x="1599"/>
        <item x="978"/>
        <item x="1600"/>
        <item x="1601"/>
        <item x="1602"/>
        <item x="1603"/>
        <item x="1604"/>
        <item x="979"/>
        <item x="980"/>
        <item x="1605"/>
        <item x="1606"/>
        <item x="1607"/>
        <item x="1608"/>
        <item x="1833"/>
        <item x="1609"/>
        <item x="1610"/>
        <item x="1611"/>
        <item x="1612"/>
        <item x="1613"/>
        <item x="981"/>
        <item x="1614"/>
        <item x="1615"/>
        <item x="1616"/>
        <item x="982"/>
        <item x="1617"/>
        <item x="18"/>
        <item x="19"/>
        <item x="983"/>
        <item x="1618"/>
        <item x="984"/>
        <item x="985"/>
        <item x="1619"/>
        <item x="1620"/>
        <item x="986"/>
        <item x="987"/>
        <item x="1621"/>
        <item x="1622"/>
        <item x="20"/>
        <item x="1623"/>
        <item x="1832"/>
        <item x="1624"/>
        <item x="1625"/>
        <item x="988"/>
        <item x="1626"/>
        <item x="1627"/>
        <item x="989"/>
        <item x="21"/>
        <item x="22"/>
        <item x="990"/>
        <item x="991"/>
        <item x="1628"/>
        <item x="1629"/>
        <item x="992"/>
        <item x="993"/>
        <item x="1630"/>
        <item x="994"/>
        <item x="995"/>
        <item x="996"/>
        <item x="997"/>
        <item x="998"/>
        <item x="999"/>
        <item x="1000"/>
        <item x="1001"/>
        <item x="23"/>
        <item x="1002"/>
        <item x="1631"/>
        <item x="24"/>
        <item x="25"/>
        <item x="1003"/>
        <item x="1004"/>
        <item x="1005"/>
        <item x="1006"/>
        <item x="1632"/>
        <item x="1758"/>
        <item x="26"/>
        <item x="27"/>
        <item x="28"/>
        <item x="1007"/>
        <item x="1008"/>
        <item x="1009"/>
        <item x="1010"/>
        <item x="29"/>
        <item x="1011"/>
        <item x="1012"/>
        <item x="30"/>
        <item x="31"/>
        <item x="1013"/>
        <item x="32"/>
        <item x="1633"/>
        <item x="1634"/>
        <item x="33"/>
        <item x="1268"/>
        <item x="1014"/>
        <item x="1015"/>
        <item x="1016"/>
        <item x="34"/>
        <item x="35"/>
        <item x="36"/>
        <item x="37"/>
        <item x="38"/>
        <item x="1017"/>
        <item x="1018"/>
        <item x="1019"/>
        <item x="1020"/>
        <item x="39"/>
        <item x="1021"/>
        <item x="40"/>
        <item x="1022"/>
        <item x="1023"/>
        <item x="1024"/>
        <item x="1025"/>
        <item x="1026"/>
        <item x="41"/>
        <item x="42"/>
        <item x="1824"/>
        <item x="1027"/>
        <item x="43"/>
        <item x="1028"/>
        <item x="44"/>
        <item x="45"/>
        <item x="46"/>
        <item x="1029"/>
        <item x="47"/>
        <item x="48"/>
        <item x="1030"/>
        <item x="49"/>
        <item x="50"/>
        <item x="51"/>
        <item x="52"/>
        <item x="1031"/>
        <item x="53"/>
        <item x="54"/>
        <item x="55"/>
        <item x="56"/>
        <item x="1635"/>
        <item x="57"/>
        <item x="58"/>
        <item x="59"/>
        <item x="1032"/>
        <item x="1689"/>
        <item x="60"/>
        <item x="61"/>
        <item x="1033"/>
        <item x="62"/>
        <item x="1034"/>
        <item x="63"/>
        <item x="1035"/>
        <item x="64"/>
        <item x="1036"/>
        <item x="65"/>
        <item x="1037"/>
        <item x="66"/>
        <item x="67"/>
        <item x="68"/>
        <item x="69"/>
        <item x="70"/>
        <item x="71"/>
        <item x="1038"/>
        <item x="1039"/>
        <item x="1636"/>
        <item x="72"/>
        <item x="1040"/>
        <item x="73"/>
        <item x="74"/>
        <item x="1041"/>
        <item x="75"/>
        <item x="76"/>
        <item x="77"/>
        <item x="1042"/>
        <item x="1043"/>
        <item x="78"/>
        <item x="79"/>
        <item x="1044"/>
        <item x="80"/>
        <item x="81"/>
        <item x="82"/>
        <item x="83"/>
        <item x="84"/>
        <item x="85"/>
        <item x="86"/>
        <item x="1637"/>
        <item x="87"/>
        <item x="88"/>
        <item x="89"/>
        <item x="1759"/>
        <item x="1638"/>
        <item x="90"/>
        <item x="91"/>
        <item x="92"/>
        <item x="93"/>
        <item x="1045"/>
        <item x="94"/>
        <item x="95"/>
        <item x="96"/>
        <item x="97"/>
        <item x="98"/>
        <item x="99"/>
        <item x="100"/>
        <item x="101"/>
        <item x="1046"/>
        <item x="102"/>
        <item x="1047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690"/>
        <item x="118"/>
        <item x="1830"/>
        <item x="1834"/>
        <item x="119"/>
        <item x="120"/>
        <item x="121"/>
        <item x="1048"/>
        <item x="122"/>
        <item x="1154"/>
        <item x="123"/>
        <item x="124"/>
        <item x="1155"/>
        <item x="1831"/>
        <item x="1826"/>
        <item x="1639"/>
        <item x="125"/>
        <item x="1796"/>
        <item x="126"/>
        <item x="1156"/>
        <item x="1827"/>
        <item x="1691"/>
        <item x="1794"/>
        <item x="127"/>
        <item x="1049"/>
        <item x="1795"/>
        <item x="1157"/>
        <item x="1257"/>
        <item x="1050"/>
        <item x="1828"/>
        <item x="1797"/>
        <item x="128"/>
        <item x="1115"/>
        <item x="129"/>
        <item x="1640"/>
        <item x="130"/>
        <item x="131"/>
        <item x="1672"/>
        <item x="1692"/>
        <item x="132"/>
        <item x="1051"/>
        <item x="1669"/>
        <item x="1693"/>
        <item x="1694"/>
        <item x="1695"/>
        <item x="1641"/>
        <item x="1696"/>
        <item x="133"/>
        <item x="134"/>
        <item x="1697"/>
        <item x="1698"/>
        <item x="1699"/>
        <item x="135"/>
        <item x="1052"/>
        <item x="1700"/>
        <item x="1701"/>
        <item x="1702"/>
        <item x="1703"/>
        <item x="1704"/>
        <item x="1705"/>
        <item x="1706"/>
        <item x="1707"/>
        <item x="1053"/>
        <item x="1708"/>
        <item x="1709"/>
        <item x="136"/>
        <item x="1192"/>
        <item x="1054"/>
        <item x="1710"/>
        <item x="1787"/>
        <item x="1711"/>
        <item x="1712"/>
        <item x="1713"/>
        <item x="1714"/>
        <item x="1055"/>
        <item x="1715"/>
        <item x="1716"/>
        <item x="1717"/>
        <item x="1718"/>
        <item x="1719"/>
        <item x="1720"/>
        <item x="1721"/>
        <item x="1056"/>
        <item x="1722"/>
        <item x="1723"/>
        <item x="1057"/>
        <item x="1058"/>
        <item x="1724"/>
        <item x="1725"/>
        <item x="1059"/>
        <item x="1126"/>
        <item x="1060"/>
        <item x="137"/>
        <item x="1734"/>
        <item x="1061"/>
        <item x="1137"/>
        <item x="1062"/>
        <item x="1277"/>
        <item x="1127"/>
        <item x="1670"/>
        <item x="1063"/>
        <item x="1193"/>
        <item x="1064"/>
        <item x="1065"/>
        <item x="1066"/>
        <item x="1642"/>
        <item x="1825"/>
        <item x="1067"/>
        <item x="1068"/>
        <item x="1128"/>
        <item x="1194"/>
        <item x="1069"/>
        <item x="1643"/>
        <item x="1195"/>
        <item x="1070"/>
        <item x="1129"/>
        <item x="1071"/>
        <item x="1072"/>
        <item x="1196"/>
        <item x="1073"/>
        <item x="1074"/>
        <item x="1075"/>
        <item x="1792"/>
        <item x="1197"/>
        <item x="1130"/>
        <item x="1198"/>
        <item x="1131"/>
        <item x="1076"/>
        <item x="1132"/>
        <item x="1077"/>
        <item x="1760"/>
        <item x="1078"/>
        <item x="1199"/>
        <item x="1079"/>
        <item x="1793"/>
        <item x="1080"/>
        <item x="1808"/>
        <item x="1200"/>
        <item x="1726"/>
        <item x="1158"/>
        <item x="1201"/>
        <item x="1081"/>
        <item x="1785"/>
        <item x="1082"/>
        <item x="1133"/>
        <item x="1159"/>
        <item x="1644"/>
        <item x="1083"/>
        <item x="1202"/>
        <item x="1786"/>
        <item x="1134"/>
        <item x="1203"/>
        <item x="1821"/>
        <item x="1204"/>
        <item x="1261"/>
        <item x="1084"/>
        <item x="1205"/>
        <item x="1791"/>
        <item x="1727"/>
        <item x="1085"/>
        <item x="1206"/>
        <item x="1086"/>
        <item x="1820"/>
        <item x="1728"/>
        <item x="1207"/>
        <item x="1208"/>
        <item x="1209"/>
        <item x="1729"/>
        <item x="1210"/>
        <item x="1800"/>
        <item x="1645"/>
        <item x="1087"/>
        <item x="1211"/>
        <item x="1212"/>
        <item x="1278"/>
        <item x="1807"/>
        <item x="1279"/>
        <item x="1813"/>
        <item x="1160"/>
        <item x="1213"/>
        <item x="1835"/>
        <item x="1799"/>
        <item x="1818"/>
        <item x="1214"/>
        <item x="1730"/>
        <item x="1810"/>
        <item x="1088"/>
        <item x="1215"/>
        <item x="1731"/>
        <item x="1280"/>
        <item x="1216"/>
        <item x="1814"/>
        <item x="1646"/>
        <item x="1135"/>
        <item x="1789"/>
        <item x="1089"/>
        <item x="1281"/>
        <item x="1217"/>
        <item x="1218"/>
        <item x="1219"/>
        <item x="1647"/>
        <item x="1220"/>
        <item x="1282"/>
        <item x="1221"/>
        <item x="1222"/>
        <item x="1811"/>
        <item x="1223"/>
        <item x="1224"/>
        <item x="1225"/>
        <item x="1806"/>
        <item x="1226"/>
        <item x="1283"/>
        <item x="1227"/>
        <item x="1284"/>
        <item x="1228"/>
        <item x="1285"/>
        <item x="1648"/>
        <item x="138"/>
        <item x="1649"/>
        <item x="1802"/>
        <item x="1229"/>
        <item x="1286"/>
        <item x="1287"/>
        <item x="1230"/>
        <item x="1231"/>
        <item x="1232"/>
        <item x="1650"/>
        <item x="1233"/>
        <item x="1822"/>
        <item x="1651"/>
        <item x="1234"/>
        <item x="1652"/>
        <item x="1235"/>
        <item x="1653"/>
        <item x="1090"/>
        <item x="1803"/>
        <item x="1236"/>
        <item x="1237"/>
        <item x="1238"/>
        <item x="1239"/>
        <item x="1790"/>
        <item x="1240"/>
        <item x="1241"/>
        <item x="1242"/>
        <item x="1091"/>
        <item x="1288"/>
        <item x="1804"/>
        <item x="1243"/>
        <item x="1809"/>
        <item x="1262"/>
        <item x="1244"/>
        <item x="1654"/>
        <item x="1245"/>
        <item x="1655"/>
        <item x="1161"/>
        <item x="1823"/>
        <item x="1801"/>
        <item x="1246"/>
        <item x="1247"/>
        <item x="1248"/>
        <item x="1249"/>
        <item x="1250"/>
        <item x="1251"/>
        <item x="1263"/>
        <item x="1252"/>
        <item x="1805"/>
        <item x="1798"/>
        <item x="1136"/>
        <item x="1816"/>
        <item x="1732"/>
        <item x="1253"/>
        <item x="1254"/>
        <item x="1255"/>
        <item x="1264"/>
        <item x="1656"/>
        <item x="1815"/>
        <item x="1256"/>
        <item x="1817"/>
        <item x="1829"/>
        <item h="1" x="1777"/>
        <item h="1" x="0"/>
        <item x="1099"/>
        <item h="1" x="1812"/>
        <item h="1" x="1097"/>
        <item h="1" x="1788"/>
        <item h="1" x="1163"/>
        <item h="1" x="1819"/>
        <item t="default"/>
      </items>
    </pivotField>
    <pivotField showAll="0"/>
    <pivotField axis="axisPage" multipleItemSelectionAllowed="1" showAll="0">
      <items count="11">
        <item h="1" x="4"/>
        <item x="1"/>
        <item x="0"/>
        <item x="6"/>
        <item h="1" x="5"/>
        <item x="8"/>
        <item x="7"/>
        <item x="2"/>
        <item h="1" x="9"/>
        <item h="1" x="3"/>
        <item t="default"/>
      </items>
    </pivotField>
    <pivotField showAll="0"/>
    <pivotField showAll="0"/>
    <pivotField showAll="0"/>
    <pivotField axis="axisRow" showAll="0">
      <items count="2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6"/>
        <item x="23"/>
        <item x="24"/>
        <item x="25"/>
        <item t="default"/>
      </items>
    </pivotField>
    <pivotField numFmtId="14" showAll="0"/>
    <pivotField axis="axisCol" showAll="0">
      <items count="13">
        <item x="11"/>
        <item x="10"/>
        <item x="6"/>
        <item x="9"/>
        <item x="8"/>
        <item x="7"/>
        <item x="5"/>
        <item x="4"/>
        <item x="2"/>
        <item x="3"/>
        <item x="1"/>
        <item x="0"/>
        <item t="default"/>
      </items>
    </pivotField>
    <pivotField showAll="0"/>
    <pivotField showAll="0"/>
    <pivotField axis="axisPage" multipleItemSelectionAllowed="1" showAll="0">
      <items count="5">
        <item x="1"/>
        <item h="1" x="2"/>
        <item h="1" x="0"/>
        <item h="1" x="3"/>
        <item t="default"/>
      </items>
    </pivotField>
    <pivotField showAll="0"/>
    <pivotField showAll="0"/>
    <pivotField dataField="1" showAll="0" defaultSubtotal="0"/>
  </pivotFields>
  <rowFields count="1">
    <field x="6"/>
  </rowFields>
  <rowItems count="16">
    <i>
      <x v="1"/>
    </i>
    <i>
      <x v="2"/>
    </i>
    <i>
      <x v="3"/>
    </i>
    <i>
      <x v="4"/>
    </i>
    <i>
      <x v="8"/>
    </i>
    <i>
      <x v="9"/>
    </i>
    <i>
      <x v="14"/>
    </i>
    <i>
      <x v="15"/>
    </i>
    <i>
      <x v="16"/>
    </i>
    <i>
      <x v="19"/>
    </i>
    <i>
      <x v="20"/>
    </i>
    <i>
      <x v="21"/>
    </i>
    <i>
      <x v="23"/>
    </i>
    <i>
      <x v="24"/>
    </i>
    <i>
      <x v="25"/>
    </i>
    <i t="grand">
      <x/>
    </i>
  </rowItems>
  <colFields count="1">
    <field x="8"/>
  </colFields>
  <colItems count="5">
    <i>
      <x v="8"/>
    </i>
    <i>
      <x v="9"/>
    </i>
    <i>
      <x v="10"/>
    </i>
    <i>
      <x v="11"/>
    </i>
    <i t="grand">
      <x/>
    </i>
  </colItems>
  <pageFields count="3">
    <pageField fld="11" hier="-1"/>
    <pageField fld="0" hier="-1"/>
    <pageField fld="2" hier="-1"/>
  </pageFields>
  <dataFields count="1">
    <dataField name="Sum of הכנסות פיתוח מהמתחם" fld="14" baseField="6" baseItem="4" numFmtId="164"/>
  </dataFields>
  <formats count="1">
    <format dxfId="38">
      <pivotArea outline="0" collapsedLevelsAreSubtotals="1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PivotTable4" cacheId="0" applyNumberFormats="0" applyBorderFormats="0" applyFontFormats="0" applyPatternFormats="0" applyAlignmentFormats="0" applyWidthHeightFormats="1" dataCaption="Values" grandTotalCaption="יח&quot;ד ששווקו עד כה" updatedVersion="5" minRefreshableVersion="3" useAutoFormatting="1" itemPrintTitles="1" createdVersion="5" indent="0" outline="1" outlineData="1" multipleFieldFilters="0">
  <location ref="L29:X54" firstHeaderRow="1" firstDataRow="2" firstDataCol="1" rowPageCount="3" colPageCount="1"/>
  <pivotFields count="15">
    <pivotField axis="axisPage" multipleItemSelectionAllowed="1" showAll="0">
      <items count="1837">
        <item x="1168"/>
        <item x="1267"/>
        <item x="1269"/>
        <item x="1270"/>
        <item x="1271"/>
        <item x="1272"/>
        <item x="1162"/>
        <item x="1116"/>
        <item x="1"/>
        <item x="1106"/>
        <item x="2"/>
        <item x="1105"/>
        <item x="1104"/>
        <item x="1117"/>
        <item x="1289"/>
        <item x="1092"/>
        <item x="1118"/>
        <item x="1119"/>
        <item x="1098"/>
        <item x="1120"/>
        <item x="1095"/>
        <item x="139"/>
        <item x="1290"/>
        <item x="1291"/>
        <item x="1292"/>
        <item x="1102"/>
        <item x="3"/>
        <item x="1101"/>
        <item x="1121"/>
        <item x="1122"/>
        <item x="4"/>
        <item x="1100"/>
        <item x="1093"/>
        <item x="1103"/>
        <item x="1096"/>
        <item x="1094"/>
        <item x="5"/>
        <item x="6"/>
        <item x="140"/>
        <item x="1123"/>
        <item x="141"/>
        <item x="7"/>
        <item x="8"/>
        <item x="142"/>
        <item x="9"/>
        <item x="1124"/>
        <item x="143"/>
        <item x="1114"/>
        <item x="1107"/>
        <item x="1125"/>
        <item x="1781"/>
        <item x="1780"/>
        <item x="1273"/>
        <item x="1761"/>
        <item x="1765"/>
        <item x="1766"/>
        <item x="1769"/>
        <item x="1784"/>
        <item x="1768"/>
        <item x="1770"/>
        <item x="1767"/>
        <item x="1772"/>
        <item x="1774"/>
        <item x="1776"/>
        <item x="1274"/>
        <item x="1778"/>
        <item x="1775"/>
        <item x="1275"/>
        <item x="1764"/>
        <item x="1771"/>
        <item x="1773"/>
        <item x="1779"/>
        <item x="1762"/>
        <item x="1782"/>
        <item x="1276"/>
        <item x="1763"/>
        <item x="1783"/>
        <item x="10"/>
        <item x="1138"/>
        <item x="1139"/>
        <item x="1140"/>
        <item x="1169"/>
        <item x="1141"/>
        <item x="1142"/>
        <item x="1143"/>
        <item x="1755"/>
        <item x="1673"/>
        <item x="1144"/>
        <item x="1674"/>
        <item x="1756"/>
        <item x="1145"/>
        <item x="1675"/>
        <item x="1146"/>
        <item x="1147"/>
        <item x="1170"/>
        <item x="1757"/>
        <item x="1171"/>
        <item x="1148"/>
        <item x="1733"/>
        <item x="1676"/>
        <item x="1149"/>
        <item x="1150"/>
        <item x="1172"/>
        <item x="1677"/>
        <item x="1151"/>
        <item x="1152"/>
        <item x="1678"/>
        <item x="1746"/>
        <item x="1173"/>
        <item x="1174"/>
        <item x="1175"/>
        <item x="1679"/>
        <item x="1153"/>
        <item x="1266"/>
        <item x="1176"/>
        <item x="1177"/>
        <item x="1166"/>
        <item x="1750"/>
        <item x="1178"/>
        <item x="1737"/>
        <item x="1164"/>
        <item x="1265"/>
        <item x="1179"/>
        <item x="1259"/>
        <item x="1180"/>
        <item x="1181"/>
        <item x="1680"/>
        <item x="1744"/>
        <item x="1749"/>
        <item x="1681"/>
        <item x="1182"/>
        <item x="1682"/>
        <item x="1683"/>
        <item x="1736"/>
        <item x="1751"/>
        <item x="1684"/>
        <item x="1685"/>
        <item x="1686"/>
        <item x="1738"/>
        <item x="1260"/>
        <item x="1753"/>
        <item x="1752"/>
        <item x="1741"/>
        <item x="1743"/>
        <item x="1183"/>
        <item x="1184"/>
        <item x="1748"/>
        <item x="1185"/>
        <item x="1742"/>
        <item x="1186"/>
        <item x="1735"/>
        <item x="1739"/>
        <item x="1745"/>
        <item x="1165"/>
        <item x="1187"/>
        <item x="1754"/>
        <item x="1747"/>
        <item x="1188"/>
        <item x="1189"/>
        <item x="1190"/>
        <item x="1740"/>
        <item x="1191"/>
        <item x="1167"/>
        <item x="1687"/>
        <item x="1688"/>
        <item x="1108"/>
        <item x="1109"/>
        <item x="1110"/>
        <item x="1111"/>
        <item x="1112"/>
        <item x="111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1293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1294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1295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1296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1297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1298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1299"/>
        <item x="443"/>
        <item x="444"/>
        <item x="445"/>
        <item x="446"/>
        <item x="447"/>
        <item x="1300"/>
        <item x="448"/>
        <item x="449"/>
        <item x="450"/>
        <item x="451"/>
        <item x="452"/>
        <item x="453"/>
        <item x="454"/>
        <item x="455"/>
        <item x="456"/>
        <item x="1301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1302"/>
        <item x="511"/>
        <item x="512"/>
        <item x="513"/>
        <item x="514"/>
        <item x="515"/>
        <item x="516"/>
        <item x="517"/>
        <item x="518"/>
        <item x="519"/>
        <item x="1303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130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1305"/>
        <item x="549"/>
        <item x="550"/>
        <item x="551"/>
        <item x="552"/>
        <item x="553"/>
        <item x="554"/>
        <item x="1306"/>
        <item x="555"/>
        <item x="556"/>
        <item x="1307"/>
        <item x="557"/>
        <item x="1308"/>
        <item x="1309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1310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1311"/>
        <item x="594"/>
        <item x="595"/>
        <item x="1312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1313"/>
        <item x="1314"/>
        <item x="612"/>
        <item x="1315"/>
        <item x="613"/>
        <item x="614"/>
        <item x="615"/>
        <item x="616"/>
        <item x="617"/>
        <item x="618"/>
        <item x="11"/>
        <item x="1316"/>
        <item x="619"/>
        <item x="620"/>
        <item x="1317"/>
        <item x="621"/>
        <item x="1318"/>
        <item x="622"/>
        <item x="623"/>
        <item x="624"/>
        <item x="625"/>
        <item x="626"/>
        <item x="627"/>
        <item x="628"/>
        <item x="629"/>
        <item x="1319"/>
        <item x="630"/>
        <item x="631"/>
        <item x="632"/>
        <item x="633"/>
        <item x="634"/>
        <item x="635"/>
        <item x="636"/>
        <item x="1320"/>
        <item x="1321"/>
        <item x="637"/>
        <item x="638"/>
        <item x="639"/>
        <item x="640"/>
        <item x="641"/>
        <item x="642"/>
        <item x="1322"/>
        <item x="643"/>
        <item x="644"/>
        <item x="645"/>
        <item x="646"/>
        <item x="647"/>
        <item x="648"/>
        <item x="649"/>
        <item x="1323"/>
        <item x="650"/>
        <item x="651"/>
        <item x="652"/>
        <item x="1324"/>
        <item x="653"/>
        <item x="654"/>
        <item x="655"/>
        <item x="656"/>
        <item x="1325"/>
        <item x="657"/>
        <item x="658"/>
        <item x="659"/>
        <item x="660"/>
        <item x="1326"/>
        <item x="661"/>
        <item x="662"/>
        <item x="663"/>
        <item x="664"/>
        <item x="665"/>
        <item x="1327"/>
        <item x="666"/>
        <item x="667"/>
        <item x="1328"/>
        <item x="668"/>
        <item x="1329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1330"/>
        <item x="680"/>
        <item x="681"/>
        <item x="682"/>
        <item x="683"/>
        <item x="684"/>
        <item x="1331"/>
        <item x="685"/>
        <item x="1332"/>
        <item x="686"/>
        <item x="687"/>
        <item x="688"/>
        <item x="689"/>
        <item x="690"/>
        <item x="691"/>
        <item x="1333"/>
        <item x="692"/>
        <item x="1334"/>
        <item x="693"/>
        <item x="694"/>
        <item x="1335"/>
        <item x="695"/>
        <item x="696"/>
        <item x="697"/>
        <item x="698"/>
        <item x="1336"/>
        <item x="699"/>
        <item x="700"/>
        <item x="1337"/>
        <item x="701"/>
        <item x="702"/>
        <item x="703"/>
        <item x="704"/>
        <item x="705"/>
        <item x="1338"/>
        <item x="1339"/>
        <item x="706"/>
        <item x="707"/>
        <item x="708"/>
        <item x="709"/>
        <item x="710"/>
        <item x="134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1341"/>
        <item x="728"/>
        <item x="729"/>
        <item x="730"/>
        <item x="731"/>
        <item x="1342"/>
        <item x="732"/>
        <item x="733"/>
        <item x="734"/>
        <item x="735"/>
        <item x="736"/>
        <item x="737"/>
        <item x="738"/>
        <item x="739"/>
        <item x="1343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1344"/>
        <item x="1345"/>
        <item x="1346"/>
        <item x="754"/>
        <item x="755"/>
        <item x="756"/>
        <item x="1347"/>
        <item x="757"/>
        <item x="758"/>
        <item x="1348"/>
        <item x="1349"/>
        <item x="1350"/>
        <item x="759"/>
        <item x="760"/>
        <item x="761"/>
        <item x="1351"/>
        <item x="1352"/>
        <item x="762"/>
        <item x="763"/>
        <item x="1353"/>
        <item x="764"/>
        <item x="765"/>
        <item x="766"/>
        <item x="767"/>
        <item x="1354"/>
        <item x="768"/>
        <item x="769"/>
        <item x="1355"/>
        <item x="1356"/>
        <item x="1357"/>
        <item x="770"/>
        <item x="771"/>
        <item x="772"/>
        <item x="773"/>
        <item x="774"/>
        <item x="1358"/>
        <item x="775"/>
        <item x="776"/>
        <item x="777"/>
        <item x="778"/>
        <item x="779"/>
        <item x="780"/>
        <item x="781"/>
        <item x="782"/>
        <item x="783"/>
        <item x="1359"/>
        <item x="1360"/>
        <item x="784"/>
        <item x="1361"/>
        <item x="1362"/>
        <item x="1363"/>
        <item x="785"/>
        <item x="786"/>
        <item x="1364"/>
        <item x="787"/>
        <item x="788"/>
        <item x="789"/>
        <item x="790"/>
        <item x="791"/>
        <item x="1365"/>
        <item x="1366"/>
        <item x="1367"/>
        <item x="1368"/>
        <item x="1369"/>
        <item x="792"/>
        <item x="793"/>
        <item x="1370"/>
        <item x="794"/>
        <item x="1371"/>
        <item x="795"/>
        <item x="796"/>
        <item x="797"/>
        <item x="1372"/>
        <item x="1373"/>
        <item x="798"/>
        <item x="799"/>
        <item x="800"/>
        <item x="801"/>
        <item x="802"/>
        <item x="803"/>
        <item x="804"/>
        <item x="1374"/>
        <item x="805"/>
        <item x="1375"/>
        <item x="806"/>
        <item x="807"/>
        <item x="808"/>
        <item x="809"/>
        <item x="1376"/>
        <item x="1377"/>
        <item x="810"/>
        <item x="1378"/>
        <item x="1379"/>
        <item x="811"/>
        <item x="812"/>
        <item x="1380"/>
        <item x="813"/>
        <item x="1381"/>
        <item x="1382"/>
        <item x="814"/>
        <item x="815"/>
        <item x="1383"/>
        <item x="1384"/>
        <item x="816"/>
        <item x="817"/>
        <item x="1385"/>
        <item x="818"/>
        <item x="819"/>
        <item x="820"/>
        <item x="1386"/>
        <item x="821"/>
        <item x="822"/>
        <item x="1387"/>
        <item x="823"/>
        <item x="824"/>
        <item x="825"/>
        <item x="826"/>
        <item x="1388"/>
        <item x="827"/>
        <item x="1389"/>
        <item x="828"/>
        <item x="1390"/>
        <item x="1391"/>
        <item x="1392"/>
        <item x="1393"/>
        <item x="829"/>
        <item x="1394"/>
        <item x="1395"/>
        <item x="1396"/>
        <item x="1397"/>
        <item x="830"/>
        <item x="1398"/>
        <item x="831"/>
        <item x="832"/>
        <item x="833"/>
        <item x="1399"/>
        <item x="1400"/>
        <item x="834"/>
        <item x="1401"/>
        <item x="1402"/>
        <item x="1403"/>
        <item x="835"/>
        <item x="836"/>
        <item x="837"/>
        <item x="838"/>
        <item x="839"/>
        <item x="1404"/>
        <item x="1405"/>
        <item x="840"/>
        <item x="841"/>
        <item x="1406"/>
        <item x="1407"/>
        <item x="1408"/>
        <item x="842"/>
        <item x="1409"/>
        <item x="843"/>
        <item x="844"/>
        <item x="1410"/>
        <item x="845"/>
        <item x="846"/>
        <item x="847"/>
        <item x="848"/>
        <item x="849"/>
        <item x="850"/>
        <item x="1411"/>
        <item x="851"/>
        <item x="852"/>
        <item x="853"/>
        <item x="854"/>
        <item x="1412"/>
        <item x="855"/>
        <item x="1413"/>
        <item x="856"/>
        <item x="1414"/>
        <item x="857"/>
        <item x="858"/>
        <item x="1415"/>
        <item x="1416"/>
        <item x="859"/>
        <item x="860"/>
        <item x="861"/>
        <item x="1417"/>
        <item x="862"/>
        <item x="1418"/>
        <item x="863"/>
        <item x="864"/>
        <item x="865"/>
        <item x="1419"/>
        <item x="866"/>
        <item x="867"/>
        <item x="868"/>
        <item x="869"/>
        <item x="870"/>
        <item x="1420"/>
        <item x="1258"/>
        <item x="1421"/>
        <item x="1422"/>
        <item x="871"/>
        <item x="872"/>
        <item x="1423"/>
        <item x="1424"/>
        <item x="1425"/>
        <item x="1426"/>
        <item x="1427"/>
        <item x="1428"/>
        <item x="873"/>
        <item x="874"/>
        <item x="1429"/>
        <item x="875"/>
        <item x="1430"/>
        <item x="876"/>
        <item x="877"/>
        <item x="878"/>
        <item x="879"/>
        <item x="1431"/>
        <item x="1432"/>
        <item x="1433"/>
        <item x="880"/>
        <item x="881"/>
        <item x="1434"/>
        <item x="1435"/>
        <item x="882"/>
        <item x="883"/>
        <item x="884"/>
        <item x="885"/>
        <item x="1436"/>
        <item x="1437"/>
        <item x="1438"/>
        <item x="1439"/>
        <item x="1440"/>
        <item x="1441"/>
        <item x="1442"/>
        <item x="886"/>
        <item x="887"/>
        <item x="1443"/>
        <item x="1444"/>
        <item x="888"/>
        <item x="1445"/>
        <item x="889"/>
        <item x="890"/>
        <item x="891"/>
        <item x="892"/>
        <item x="1446"/>
        <item x="893"/>
        <item x="894"/>
        <item x="1447"/>
        <item x="895"/>
        <item x="896"/>
        <item x="1448"/>
        <item x="1449"/>
        <item x="897"/>
        <item x="898"/>
        <item x="1450"/>
        <item x="1451"/>
        <item x="899"/>
        <item x="900"/>
        <item x="1452"/>
        <item x="1453"/>
        <item x="1454"/>
        <item x="1455"/>
        <item x="1456"/>
        <item x="901"/>
        <item x="1457"/>
        <item x="902"/>
        <item x="903"/>
        <item x="904"/>
        <item x="905"/>
        <item x="906"/>
        <item x="907"/>
        <item x="908"/>
        <item x="909"/>
        <item x="1458"/>
        <item x="910"/>
        <item x="1459"/>
        <item x="1460"/>
        <item x="1461"/>
        <item x="1462"/>
        <item x="911"/>
        <item x="1463"/>
        <item x="1464"/>
        <item x="12"/>
        <item x="912"/>
        <item x="1465"/>
        <item x="1466"/>
        <item x="913"/>
        <item x="1467"/>
        <item x="1468"/>
        <item x="1469"/>
        <item x="914"/>
        <item x="1470"/>
        <item x="1471"/>
        <item x="915"/>
        <item x="1472"/>
        <item x="1473"/>
        <item x="13"/>
        <item x="916"/>
        <item x="1474"/>
        <item x="1475"/>
        <item x="1476"/>
        <item x="917"/>
        <item x="1477"/>
        <item x="1478"/>
        <item x="1479"/>
        <item x="918"/>
        <item x="1480"/>
        <item x="1481"/>
        <item x="919"/>
        <item x="1482"/>
        <item x="1483"/>
        <item x="920"/>
        <item x="921"/>
        <item x="922"/>
        <item x="1484"/>
        <item x="14"/>
        <item x="1485"/>
        <item x="1486"/>
        <item x="923"/>
        <item x="924"/>
        <item x="1487"/>
        <item x="925"/>
        <item x="1488"/>
        <item x="1489"/>
        <item x="926"/>
        <item x="1490"/>
        <item x="927"/>
        <item x="1491"/>
        <item x="1492"/>
        <item x="1493"/>
        <item x="1494"/>
        <item x="928"/>
        <item x="1495"/>
        <item x="1496"/>
        <item x="929"/>
        <item x="1497"/>
        <item x="1498"/>
        <item x="930"/>
        <item x="931"/>
        <item x="1499"/>
        <item x="1500"/>
        <item x="1501"/>
        <item x="1502"/>
        <item x="1503"/>
        <item x="1504"/>
        <item x="1505"/>
        <item x="1506"/>
        <item x="932"/>
        <item x="1507"/>
        <item x="1508"/>
        <item x="1509"/>
        <item x="1510"/>
        <item x="933"/>
        <item x="1511"/>
        <item x="1661"/>
        <item x="1512"/>
        <item x="1513"/>
        <item x="934"/>
        <item x="935"/>
        <item x="936"/>
        <item x="1514"/>
        <item x="1515"/>
        <item x="937"/>
        <item x="1516"/>
        <item x="938"/>
        <item x="1517"/>
        <item x="1518"/>
        <item x="939"/>
        <item x="1519"/>
        <item x="1520"/>
        <item x="1521"/>
        <item x="940"/>
        <item x="1522"/>
        <item x="1523"/>
        <item x="1666"/>
        <item x="941"/>
        <item x="1524"/>
        <item x="1657"/>
        <item x="1525"/>
        <item x="1526"/>
        <item x="942"/>
        <item x="1527"/>
        <item x="943"/>
        <item x="944"/>
        <item x="1528"/>
        <item x="945"/>
        <item x="1529"/>
        <item x="946"/>
        <item x="1530"/>
        <item x="1531"/>
        <item x="1532"/>
        <item x="1533"/>
        <item x="947"/>
        <item x="1534"/>
        <item x="948"/>
        <item x="1535"/>
        <item x="1536"/>
        <item x="1537"/>
        <item x="1538"/>
        <item x="1539"/>
        <item x="1540"/>
        <item x="1541"/>
        <item x="1542"/>
        <item x="1543"/>
        <item x="949"/>
        <item x="1544"/>
        <item x="950"/>
        <item x="1545"/>
        <item x="1546"/>
        <item x="1547"/>
        <item x="1548"/>
        <item x="1549"/>
        <item x="1550"/>
        <item x="951"/>
        <item x="1551"/>
        <item x="1552"/>
        <item x="952"/>
        <item x="953"/>
        <item x="1553"/>
        <item x="954"/>
        <item x="1554"/>
        <item x="1555"/>
        <item x="955"/>
        <item x="1556"/>
        <item x="1557"/>
        <item x="1558"/>
        <item x="1664"/>
        <item x="956"/>
        <item x="1559"/>
        <item x="957"/>
        <item x="1560"/>
        <item x="1561"/>
        <item x="1562"/>
        <item x="1563"/>
        <item x="958"/>
        <item x="1660"/>
        <item x="1564"/>
        <item x="1565"/>
        <item x="1662"/>
        <item x="959"/>
        <item x="1566"/>
        <item x="1567"/>
        <item x="960"/>
        <item x="1568"/>
        <item x="961"/>
        <item x="1569"/>
        <item x="962"/>
        <item x="1658"/>
        <item x="1570"/>
        <item x="1665"/>
        <item x="963"/>
        <item x="964"/>
        <item x="1571"/>
        <item x="15"/>
        <item x="1572"/>
        <item x="1573"/>
        <item x="1574"/>
        <item x="965"/>
        <item x="1575"/>
        <item x="1576"/>
        <item x="16"/>
        <item x="1577"/>
        <item x="1578"/>
        <item x="1659"/>
        <item x="966"/>
        <item x="967"/>
        <item x="968"/>
        <item x="1579"/>
        <item x="969"/>
        <item x="1580"/>
        <item x="1581"/>
        <item x="1582"/>
        <item x="1583"/>
        <item x="970"/>
        <item x="971"/>
        <item x="1584"/>
        <item x="1585"/>
        <item x="972"/>
        <item x="973"/>
        <item x="974"/>
        <item x="975"/>
        <item x="17"/>
        <item x="1663"/>
        <item x="976"/>
        <item x="1586"/>
        <item x="1587"/>
        <item x="1588"/>
        <item x="1671"/>
        <item x="1589"/>
        <item x="1668"/>
        <item x="1590"/>
        <item x="1591"/>
        <item x="1592"/>
        <item x="1593"/>
        <item x="1667"/>
        <item x="977"/>
        <item x="1594"/>
        <item x="1595"/>
        <item x="1596"/>
        <item x="1597"/>
        <item x="1598"/>
        <item x="1599"/>
        <item x="978"/>
        <item x="1600"/>
        <item x="1601"/>
        <item x="1602"/>
        <item x="1603"/>
        <item x="1604"/>
        <item x="979"/>
        <item x="980"/>
        <item x="1605"/>
        <item x="1606"/>
        <item x="1607"/>
        <item x="1608"/>
        <item x="1833"/>
        <item x="1609"/>
        <item x="1610"/>
        <item x="1611"/>
        <item x="1612"/>
        <item x="1613"/>
        <item x="981"/>
        <item x="1614"/>
        <item x="1615"/>
        <item x="1616"/>
        <item x="982"/>
        <item x="1617"/>
        <item x="18"/>
        <item x="19"/>
        <item x="983"/>
        <item x="1618"/>
        <item x="984"/>
        <item x="985"/>
        <item x="1619"/>
        <item x="1620"/>
        <item x="986"/>
        <item x="987"/>
        <item x="1621"/>
        <item x="1622"/>
        <item x="20"/>
        <item x="1623"/>
        <item x="1832"/>
        <item x="1624"/>
        <item x="1625"/>
        <item x="988"/>
        <item x="1626"/>
        <item x="1627"/>
        <item x="989"/>
        <item x="21"/>
        <item x="22"/>
        <item x="990"/>
        <item x="991"/>
        <item x="1628"/>
        <item x="1629"/>
        <item x="992"/>
        <item x="993"/>
        <item x="1630"/>
        <item x="994"/>
        <item x="995"/>
        <item x="996"/>
        <item x="997"/>
        <item x="998"/>
        <item x="999"/>
        <item x="1000"/>
        <item x="1001"/>
        <item x="23"/>
        <item x="1002"/>
        <item x="1631"/>
        <item x="24"/>
        <item x="25"/>
        <item x="1003"/>
        <item x="1004"/>
        <item x="1005"/>
        <item x="1006"/>
        <item x="1632"/>
        <item x="1758"/>
        <item x="26"/>
        <item x="27"/>
        <item x="28"/>
        <item x="1007"/>
        <item x="1008"/>
        <item x="1009"/>
        <item x="1010"/>
        <item x="29"/>
        <item x="1011"/>
        <item x="1012"/>
        <item x="30"/>
        <item x="31"/>
        <item x="1013"/>
        <item x="32"/>
        <item x="1633"/>
        <item x="1634"/>
        <item x="33"/>
        <item x="1268"/>
        <item x="1014"/>
        <item x="1015"/>
        <item x="1016"/>
        <item x="34"/>
        <item x="35"/>
        <item x="36"/>
        <item x="37"/>
        <item x="38"/>
        <item x="1017"/>
        <item x="1018"/>
        <item x="1019"/>
        <item x="1020"/>
        <item x="39"/>
        <item x="1021"/>
        <item x="40"/>
        <item x="1022"/>
        <item x="1023"/>
        <item x="1024"/>
        <item x="1025"/>
        <item x="1026"/>
        <item x="41"/>
        <item x="42"/>
        <item x="1824"/>
        <item x="1027"/>
        <item x="43"/>
        <item x="1028"/>
        <item x="44"/>
        <item x="45"/>
        <item x="46"/>
        <item x="1029"/>
        <item x="47"/>
        <item x="48"/>
        <item x="1030"/>
        <item x="49"/>
        <item x="50"/>
        <item x="51"/>
        <item x="52"/>
        <item x="1031"/>
        <item x="53"/>
        <item x="54"/>
        <item x="55"/>
        <item x="56"/>
        <item x="1635"/>
        <item x="57"/>
        <item x="58"/>
        <item x="59"/>
        <item x="1032"/>
        <item x="1689"/>
        <item x="60"/>
        <item x="61"/>
        <item x="1033"/>
        <item x="62"/>
        <item x="1034"/>
        <item x="63"/>
        <item x="1035"/>
        <item x="64"/>
        <item x="1036"/>
        <item x="65"/>
        <item x="1037"/>
        <item x="66"/>
        <item x="67"/>
        <item x="68"/>
        <item x="69"/>
        <item x="70"/>
        <item x="71"/>
        <item x="1038"/>
        <item x="1039"/>
        <item x="1636"/>
        <item x="72"/>
        <item x="1040"/>
        <item x="73"/>
        <item x="74"/>
        <item x="1041"/>
        <item x="75"/>
        <item x="76"/>
        <item x="77"/>
        <item x="1042"/>
        <item x="1043"/>
        <item x="78"/>
        <item x="79"/>
        <item x="1044"/>
        <item x="80"/>
        <item x="81"/>
        <item x="82"/>
        <item x="83"/>
        <item x="84"/>
        <item x="85"/>
        <item x="86"/>
        <item x="1637"/>
        <item x="87"/>
        <item x="88"/>
        <item x="89"/>
        <item x="1759"/>
        <item x="1638"/>
        <item x="90"/>
        <item x="91"/>
        <item x="92"/>
        <item x="93"/>
        <item x="1045"/>
        <item x="94"/>
        <item x="95"/>
        <item x="96"/>
        <item x="97"/>
        <item x="98"/>
        <item x="99"/>
        <item x="100"/>
        <item x="101"/>
        <item x="1046"/>
        <item x="102"/>
        <item x="1047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690"/>
        <item x="118"/>
        <item x="1830"/>
        <item x="1834"/>
        <item x="119"/>
        <item x="120"/>
        <item x="121"/>
        <item x="1048"/>
        <item x="122"/>
        <item x="1154"/>
        <item x="123"/>
        <item x="124"/>
        <item x="1155"/>
        <item x="1831"/>
        <item x="1826"/>
        <item x="1639"/>
        <item x="125"/>
        <item x="1796"/>
        <item x="126"/>
        <item x="1156"/>
        <item x="1827"/>
        <item x="1691"/>
        <item x="1794"/>
        <item x="127"/>
        <item x="1049"/>
        <item x="1795"/>
        <item x="1157"/>
        <item x="1257"/>
        <item x="1050"/>
        <item x="1828"/>
        <item x="1797"/>
        <item x="128"/>
        <item x="1115"/>
        <item x="129"/>
        <item x="1640"/>
        <item x="130"/>
        <item x="131"/>
        <item x="1672"/>
        <item x="1692"/>
        <item x="132"/>
        <item x="1051"/>
        <item x="1669"/>
        <item x="1693"/>
        <item x="1694"/>
        <item x="1695"/>
        <item x="1641"/>
        <item x="1696"/>
        <item x="133"/>
        <item x="134"/>
        <item x="1697"/>
        <item x="1698"/>
        <item x="1699"/>
        <item x="135"/>
        <item x="1052"/>
        <item x="1700"/>
        <item x="1701"/>
        <item x="1702"/>
        <item x="1703"/>
        <item x="1704"/>
        <item x="1705"/>
        <item x="1706"/>
        <item x="1707"/>
        <item x="1053"/>
        <item x="1708"/>
        <item x="1709"/>
        <item x="136"/>
        <item x="1192"/>
        <item x="1054"/>
        <item x="1710"/>
        <item x="1787"/>
        <item x="1711"/>
        <item x="1712"/>
        <item x="1713"/>
        <item x="1714"/>
        <item x="1055"/>
        <item x="1715"/>
        <item x="1716"/>
        <item x="1717"/>
        <item x="1718"/>
        <item x="1719"/>
        <item x="1720"/>
        <item x="1721"/>
        <item x="1056"/>
        <item x="1722"/>
        <item x="1723"/>
        <item x="1057"/>
        <item x="1058"/>
        <item x="1724"/>
        <item x="1725"/>
        <item x="1059"/>
        <item x="1126"/>
        <item x="1060"/>
        <item x="137"/>
        <item x="1734"/>
        <item x="1061"/>
        <item x="1137"/>
        <item x="1062"/>
        <item x="1277"/>
        <item x="1127"/>
        <item x="1670"/>
        <item x="1063"/>
        <item x="1193"/>
        <item x="1064"/>
        <item x="1065"/>
        <item x="1066"/>
        <item x="1642"/>
        <item x="1825"/>
        <item x="1067"/>
        <item x="1068"/>
        <item x="1128"/>
        <item x="1194"/>
        <item x="1069"/>
        <item x="1643"/>
        <item x="1195"/>
        <item x="1070"/>
        <item x="1129"/>
        <item x="1071"/>
        <item x="1072"/>
        <item x="1196"/>
        <item x="1073"/>
        <item x="1074"/>
        <item x="1075"/>
        <item x="1792"/>
        <item x="1197"/>
        <item x="1130"/>
        <item x="1198"/>
        <item x="1131"/>
        <item x="1076"/>
        <item x="1132"/>
        <item x="1077"/>
        <item x="1760"/>
        <item x="1078"/>
        <item x="1199"/>
        <item x="1079"/>
        <item x="1793"/>
        <item x="1080"/>
        <item x="1808"/>
        <item x="1200"/>
        <item x="1726"/>
        <item x="1158"/>
        <item x="1201"/>
        <item x="1081"/>
        <item x="1785"/>
        <item x="1082"/>
        <item x="1133"/>
        <item x="1159"/>
        <item x="1644"/>
        <item x="1083"/>
        <item x="1202"/>
        <item x="1786"/>
        <item x="1134"/>
        <item x="1203"/>
        <item x="1821"/>
        <item x="1204"/>
        <item x="1261"/>
        <item x="1084"/>
        <item x="1205"/>
        <item x="1791"/>
        <item x="1727"/>
        <item x="1085"/>
        <item x="1206"/>
        <item x="1086"/>
        <item x="1820"/>
        <item x="1728"/>
        <item x="1207"/>
        <item x="1208"/>
        <item x="1209"/>
        <item x="1729"/>
        <item x="1210"/>
        <item x="1800"/>
        <item x="1645"/>
        <item x="1087"/>
        <item x="1211"/>
        <item x="1212"/>
        <item x="1278"/>
        <item x="1807"/>
        <item x="1279"/>
        <item x="1813"/>
        <item x="1160"/>
        <item x="1213"/>
        <item x="1835"/>
        <item x="1799"/>
        <item x="1818"/>
        <item x="1214"/>
        <item x="1730"/>
        <item x="1810"/>
        <item x="1088"/>
        <item x="1215"/>
        <item x="1731"/>
        <item x="1280"/>
        <item x="1216"/>
        <item x="1814"/>
        <item x="1646"/>
        <item x="1135"/>
        <item x="1789"/>
        <item x="1089"/>
        <item x="1281"/>
        <item x="1217"/>
        <item x="1218"/>
        <item x="1219"/>
        <item x="1647"/>
        <item x="1220"/>
        <item x="1282"/>
        <item x="1221"/>
        <item x="1222"/>
        <item x="1811"/>
        <item x="1223"/>
        <item x="1224"/>
        <item x="1225"/>
        <item x="1806"/>
        <item x="1226"/>
        <item x="1283"/>
        <item x="1227"/>
        <item x="1284"/>
        <item x="1228"/>
        <item x="1285"/>
        <item x="1648"/>
        <item x="138"/>
        <item x="1649"/>
        <item x="1802"/>
        <item x="1229"/>
        <item x="1286"/>
        <item x="1287"/>
        <item x="1230"/>
        <item x="1231"/>
        <item x="1232"/>
        <item x="1650"/>
        <item x="1233"/>
        <item x="1822"/>
        <item x="1651"/>
        <item x="1234"/>
        <item x="1652"/>
        <item x="1235"/>
        <item x="1653"/>
        <item x="1090"/>
        <item x="1803"/>
        <item x="1236"/>
        <item x="1237"/>
        <item x="1238"/>
        <item x="1239"/>
        <item x="1790"/>
        <item x="1240"/>
        <item x="1241"/>
        <item x="1242"/>
        <item x="1091"/>
        <item x="1288"/>
        <item x="1804"/>
        <item x="1243"/>
        <item x="1809"/>
        <item x="1262"/>
        <item x="1244"/>
        <item x="1654"/>
        <item x="1245"/>
        <item x="1655"/>
        <item x="1161"/>
        <item x="1823"/>
        <item x="1801"/>
        <item x="1246"/>
        <item x="1247"/>
        <item x="1248"/>
        <item x="1249"/>
        <item x="1250"/>
        <item x="1251"/>
        <item x="1263"/>
        <item x="1252"/>
        <item x="1805"/>
        <item x="1798"/>
        <item x="1136"/>
        <item x="1816"/>
        <item x="1732"/>
        <item x="1253"/>
        <item x="1254"/>
        <item x="1255"/>
        <item x="1264"/>
        <item x="1656"/>
        <item x="1815"/>
        <item x="1256"/>
        <item x="1817"/>
        <item x="1829"/>
        <item h="1" x="1777"/>
        <item h="1" x="0"/>
        <item x="1099"/>
        <item h="1" x="1812"/>
        <item h="1" x="1097"/>
        <item h="1" x="1788"/>
        <item h="1" x="1163"/>
        <item h="1" x="1819"/>
        <item t="default"/>
      </items>
    </pivotField>
    <pivotField showAll="0"/>
    <pivotField axis="axisPage" multipleItemSelectionAllowed="1" showAll="0">
      <items count="11">
        <item h="1" x="4"/>
        <item x="1"/>
        <item x="0"/>
        <item x="6"/>
        <item h="1" x="5"/>
        <item x="8"/>
        <item x="7"/>
        <item x="2"/>
        <item h="1" x="9"/>
        <item h="1" x="3"/>
        <item t="default"/>
      </items>
    </pivotField>
    <pivotField showAll="0"/>
    <pivotField showAll="0"/>
    <pivotField showAll="0"/>
    <pivotField axis="axisRow" showAll="0">
      <items count="2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6"/>
        <item x="23"/>
        <item x="24"/>
        <item x="25"/>
        <item t="default"/>
      </items>
    </pivotField>
    <pivotField numFmtId="14" showAll="0"/>
    <pivotField axis="axisCol" showAll="0">
      <items count="13">
        <item x="11"/>
        <item x="10"/>
        <item x="6"/>
        <item x="9"/>
        <item x="8"/>
        <item x="7"/>
        <item x="5"/>
        <item x="4"/>
        <item x="2"/>
        <item x="3"/>
        <item x="1"/>
        <item x="0"/>
        <item t="default"/>
      </items>
    </pivotField>
    <pivotField showAll="0"/>
    <pivotField showAll="0"/>
    <pivotField axis="axisPage" multipleItemSelectionAllowed="1" showAll="0">
      <items count="5">
        <item x="1"/>
        <item x="2"/>
        <item x="0"/>
        <item x="3"/>
        <item t="default"/>
      </items>
    </pivotField>
    <pivotField dataField="1" showAll="0"/>
    <pivotField showAll="0"/>
    <pivotField showAll="0" defaultSubtotal="0"/>
  </pivotFields>
  <rowFields count="1">
    <field x="6"/>
  </rowFields>
  <rowItems count="24">
    <i>
      <x v="1"/>
    </i>
    <i>
      <x v="2"/>
    </i>
    <i>
      <x v="3"/>
    </i>
    <i>
      <x v="4"/>
    </i>
    <i>
      <x v="5"/>
    </i>
    <i>
      <x v="7"/>
    </i>
    <i>
      <x v="8"/>
    </i>
    <i>
      <x v="9"/>
    </i>
    <i>
      <x v="11"/>
    </i>
    <i>
      <x v="12"/>
    </i>
    <i>
      <x v="13"/>
    </i>
    <i>
      <x v="14"/>
    </i>
    <i>
      <x v="15"/>
    </i>
    <i>
      <x v="16"/>
    </i>
    <i>
      <x v="17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 t="grand">
      <x/>
    </i>
  </rowItems>
  <colFields count="1">
    <field x="8"/>
  </colFields>
  <colItems count="12"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 t="grand">
      <x/>
    </i>
  </colItems>
  <pageFields count="3">
    <pageField fld="11" hier="-1"/>
    <pageField fld="0" hier="-1"/>
    <pageField fld="2" hier="-1"/>
  </pageFields>
  <dataFields count="1">
    <dataField name="Sum of מס' יח&quot;ד" fld="12" baseField="6" baseItem="0" numFmtId="164"/>
  </dataFields>
  <formats count="2">
    <format dxfId="40">
      <pivotArea outline="0" collapsedLevelsAreSubtotals="1" fieldPosition="0"/>
    </format>
    <format dxfId="39">
      <pivotArea dataOnly="0" labelOnly="1" grandCol="1" outline="0" fieldPosition="0"/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land.gov.il/PirsumMichrazim/Aspx/pirsumDetails.aspx?id=%20252017%E1%F9&amp;rc=1&amp;tr=196" TargetMode="External"/><Relationship Id="rId1" Type="http://schemas.openxmlformats.org/officeDocument/2006/relationships/hyperlink" Target="http://www.land.gov.il/PirsumMichrazim/Aspx/pirsumDetails.aspx?id=3112016%E9%ED&amp;rc=1&amp;tr=1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hemarker.com/realestate/1.3915898" TargetMode="External"/><Relationship Id="rId3" Type="http://schemas.openxmlformats.org/officeDocument/2006/relationships/hyperlink" Target="http://www.themarker.com/realestate/1.3058555" TargetMode="External"/><Relationship Id="rId7" Type="http://schemas.openxmlformats.org/officeDocument/2006/relationships/hyperlink" Target="http://mof.gov.il/Releases/Pages/gagoryehuda.aspx" TargetMode="External"/><Relationship Id="rId2" Type="http://schemas.openxmlformats.org/officeDocument/2006/relationships/hyperlink" Target="http://www.themarker.com/realestate/1.3137641" TargetMode="External"/><Relationship Id="rId1" Type="http://schemas.openxmlformats.org/officeDocument/2006/relationships/hyperlink" Target="http://www.themarker.com/realestate/1.3058555" TargetMode="External"/><Relationship Id="rId6" Type="http://schemas.openxmlformats.org/officeDocument/2006/relationships/hyperlink" Target="http://www.themarker.com/realestate/1.3061770" TargetMode="External"/><Relationship Id="rId11" Type="http://schemas.openxmlformats.org/officeDocument/2006/relationships/comments" Target="../comments1.xml"/><Relationship Id="rId5" Type="http://schemas.openxmlformats.org/officeDocument/2006/relationships/hyperlink" Target="http://www.lod.muni.il/show_item.asp?levelId=57851&amp;itemType=0" TargetMode="External"/><Relationship Id="rId10" Type="http://schemas.openxmlformats.org/officeDocument/2006/relationships/vmlDrawing" Target="../drawings/vmlDrawing1.vml"/><Relationship Id="rId4" Type="http://schemas.openxmlformats.org/officeDocument/2006/relationships/hyperlink" Target="http://www.maltar.org.il/urbaneconomics/pages/heskem_gag.aspx" TargetMode="External"/><Relationship Id="rId9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pivotTable" Target="../pivotTables/pivotTable4.xml"/></Relationships>
</file>

<file path=xl/worksheets/_rels/sheet4.xml.rels><?xml version="1.0" encoding="UTF-8" standalone="yes"?>
<Relationships xmlns="http://schemas.openxmlformats.org/package/2006/relationships"><Relationship Id="rId1522" Type="http://schemas.openxmlformats.org/officeDocument/2006/relationships/hyperlink" Target="http://www.land.gov.il/TozaotMichrazim/resultsDetailed.aspx?id=86418&amp;rc=9&amp;tr=674" TargetMode="External"/><Relationship Id="rId1827" Type="http://schemas.openxmlformats.org/officeDocument/2006/relationships/hyperlink" Target="http://www.land.gov.il/TozaotMichrazim/resultsDetailed.aspx?id=81410&amp;rc=343&amp;tr=674" TargetMode="External"/><Relationship Id="rId21" Type="http://schemas.openxmlformats.org/officeDocument/2006/relationships/hyperlink" Target="http://www.land.gov.il/TozaotMichrazim/resultsDetailed.aspx?id=84604&amp;rc=15&amp;tr=685" TargetMode="External"/><Relationship Id="rId2089" Type="http://schemas.openxmlformats.org/officeDocument/2006/relationships/hyperlink" Target="http://www.land.gov.il/TozaotMichrazim/resultsDetailed.aspx?id=86678&amp;rc=3&amp;tr=100" TargetMode="External"/><Relationship Id="rId170" Type="http://schemas.openxmlformats.org/officeDocument/2006/relationships/hyperlink" Target="http://www.land.gov.il/TozaotMichrazim/resultsDetailed.aspx?id=84890&amp;rc=35&amp;tr=1693" TargetMode="External"/><Relationship Id="rId2296" Type="http://schemas.openxmlformats.org/officeDocument/2006/relationships/hyperlink" Target="http://www.land.gov.il/TozaotMichrazim/resultsDetailed.aspx?id=87665&amp;rc=243&amp;tr=424" TargetMode="External"/><Relationship Id="rId268" Type="http://schemas.openxmlformats.org/officeDocument/2006/relationships/hyperlink" Target="http://www.land.gov.il/TozaotMichrazim/resultsDetailed.aspx?id=84994&amp;rc=139&amp;tr=1693" TargetMode="External"/><Relationship Id="rId475" Type="http://schemas.openxmlformats.org/officeDocument/2006/relationships/hyperlink" Target="http://www.land.gov.il/TozaotMichrazim/resultsDetailed.aspx?id=85211&amp;rc=356&amp;tr=1693" TargetMode="External"/><Relationship Id="rId682" Type="http://schemas.openxmlformats.org/officeDocument/2006/relationships/hyperlink" Target="http://www.land.gov.il/TozaotMichrazim/resultsDetailed.aspx?id=85468&amp;rc=613&amp;tr=1693" TargetMode="External"/><Relationship Id="rId2156" Type="http://schemas.openxmlformats.org/officeDocument/2006/relationships/hyperlink" Target="http://www.land.gov.il/PirsumMichrazim/Aspx/pirsumDetails.aspx?id=2792016%E9%ED&amp;rc=3&amp;tr=4" TargetMode="External"/><Relationship Id="rId2363" Type="http://schemas.openxmlformats.org/officeDocument/2006/relationships/hyperlink" Target="http://www.land.gov.il/TozaotMichrazim/resultsDetailed.aspx?id=87732&amp;rc=310&amp;tr=424" TargetMode="External"/><Relationship Id="rId2570" Type="http://schemas.openxmlformats.org/officeDocument/2006/relationships/control" Target="../activeX/activeX31.xml"/><Relationship Id="rId128" Type="http://schemas.openxmlformats.org/officeDocument/2006/relationships/hyperlink" Target="http://www.land.gov.il/TozaotMichrazim/resultsDetailed.aspx?id=80645&amp;rc=124&amp;tr=685" TargetMode="External"/><Relationship Id="rId335" Type="http://schemas.openxmlformats.org/officeDocument/2006/relationships/hyperlink" Target="http://www.land.gov.il/TozaotMichrazim/resultsDetailed.aspx?id=85061&amp;rc=206&amp;tr=1693" TargetMode="External"/><Relationship Id="rId542" Type="http://schemas.openxmlformats.org/officeDocument/2006/relationships/hyperlink" Target="http://www.land.gov.il/TozaotMichrazim/resultsDetailed.aspx?id=85296&amp;rc=441&amp;tr=1693" TargetMode="External"/><Relationship Id="rId987" Type="http://schemas.openxmlformats.org/officeDocument/2006/relationships/hyperlink" Target="http://www.land.gov.il/TozaotMichrazim/resultsDetailed.aspx?id=82893&amp;rc=992&amp;tr=1693" TargetMode="External"/><Relationship Id="rId1172" Type="http://schemas.openxmlformats.org/officeDocument/2006/relationships/hyperlink" Target="http://www.land.gov.il/TozaotMichrazim/resultsDetailed.aspx?id=83111&amp;rc=1210&amp;tr=1693" TargetMode="External"/><Relationship Id="rId2016" Type="http://schemas.openxmlformats.org/officeDocument/2006/relationships/hyperlink" Target="http://www.land.gov.il/TozaotMichrazim/resultsDetailed.aspx?id=80799&amp;rc=42&amp;tr=440" TargetMode="External"/><Relationship Id="rId2223" Type="http://schemas.openxmlformats.org/officeDocument/2006/relationships/hyperlink" Target="http://www.land.gov.il/TozaotMichrazim/Results.aspx?NewSearch=true&amp;ynmichraz=2014&amp;anMichraz=%e7%e9&amp;Nnmichraz=359" TargetMode="External"/><Relationship Id="rId2430" Type="http://schemas.openxmlformats.org/officeDocument/2006/relationships/hyperlink" Target="http://www.land.gov.il/TozaotMichrazim/resultsDetailed.aspx?id=87313&amp;rc=406&amp;tr=424" TargetMode="External"/><Relationship Id="rId2668" Type="http://schemas.openxmlformats.org/officeDocument/2006/relationships/control" Target="../activeX/activeX129.xml"/><Relationship Id="rId402" Type="http://schemas.openxmlformats.org/officeDocument/2006/relationships/hyperlink" Target="http://www.land.gov.il/TozaotMichrazim/resultsDetailed.aspx?id=85134&amp;rc=279&amp;tr=1693" TargetMode="External"/><Relationship Id="rId847" Type="http://schemas.openxmlformats.org/officeDocument/2006/relationships/hyperlink" Target="http://www.land.gov.il/TozaotMichrazim/resultsDetailed.aspx?id=82734&amp;rc=833&amp;tr=1693" TargetMode="External"/><Relationship Id="rId1032" Type="http://schemas.openxmlformats.org/officeDocument/2006/relationships/hyperlink" Target="http://www.land.gov.il/TozaotMichrazim/resultsDetailed.aspx?id=82945&amp;rc=1044&amp;tr=1693" TargetMode="External"/><Relationship Id="rId1477" Type="http://schemas.openxmlformats.org/officeDocument/2006/relationships/hyperlink" Target="http://www.land.gov.il/TozaotMichrazim/resultsDetailed.aspx?id=80863&amp;rc=68&amp;tr=421" TargetMode="External"/><Relationship Id="rId1684" Type="http://schemas.openxmlformats.org/officeDocument/2006/relationships/hyperlink" Target="http://www.land.gov.il/TozaotMichrazim/resultsDetailed.aspx?id=83829&amp;rc=192&amp;tr=674" TargetMode="External"/><Relationship Id="rId1891" Type="http://schemas.openxmlformats.org/officeDocument/2006/relationships/hyperlink" Target="http://www.land.gov.il/TozaotMichrazim/resultsDetailed.aspx?id=79387&amp;rc=407&amp;tr=674" TargetMode="External"/><Relationship Id="rId2528" Type="http://schemas.openxmlformats.org/officeDocument/2006/relationships/hyperlink" Target="http://www.land.gov.il/TozaotMichrazim/resultsDetailed.aspx?id=66257&amp;rc=80&amp;tr=87" TargetMode="External"/><Relationship Id="rId2735" Type="http://schemas.openxmlformats.org/officeDocument/2006/relationships/control" Target="../activeX/activeX196.xml"/><Relationship Id="rId707" Type="http://schemas.openxmlformats.org/officeDocument/2006/relationships/hyperlink" Target="http://www.land.gov.il/TozaotMichrazim/resultsDetailed.aspx?id=85496&amp;rc=641&amp;tr=1693" TargetMode="External"/><Relationship Id="rId914" Type="http://schemas.openxmlformats.org/officeDocument/2006/relationships/hyperlink" Target="http://www.land.gov.il/TozaotMichrazim/resultsDetailed.aspx?id=82804&amp;rc=903&amp;tr=1693" TargetMode="External"/><Relationship Id="rId1337" Type="http://schemas.openxmlformats.org/officeDocument/2006/relationships/hyperlink" Target="http://www.land.gov.il/TozaotMichrazim/resultsDetailed.aspx?id=76238&amp;rc=1390&amp;tr=1693" TargetMode="External"/><Relationship Id="rId1544" Type="http://schemas.openxmlformats.org/officeDocument/2006/relationships/hyperlink" Target="http://www.land.gov.il/TozaotMichrazim/resultsDetailed.aspx?id=86440&amp;rc=31&amp;tr=674" TargetMode="External"/><Relationship Id="rId1751" Type="http://schemas.openxmlformats.org/officeDocument/2006/relationships/hyperlink" Target="http://www.land.gov.il/TozaotMichrazim/resultsDetailed.aspx?id=81331&amp;rc=264&amp;tr=674" TargetMode="External"/><Relationship Id="rId1989" Type="http://schemas.openxmlformats.org/officeDocument/2006/relationships/hyperlink" Target="http://www.land.gov.il/TozaotMichrazim/resultsDetailed.aspx?id=86730&amp;rc=10&amp;tr=440" TargetMode="External"/><Relationship Id="rId2802" Type="http://schemas.openxmlformats.org/officeDocument/2006/relationships/control" Target="../activeX/activeX263.xml"/><Relationship Id="rId43" Type="http://schemas.openxmlformats.org/officeDocument/2006/relationships/hyperlink" Target="http://www.land.gov.il/TozaotMichrazim/resultsDetailed.aspx?id=84626&amp;rc=37&amp;tr=685" TargetMode="External"/><Relationship Id="rId1404" Type="http://schemas.openxmlformats.org/officeDocument/2006/relationships/hyperlink" Target="http://www.land.gov.il/TozaotMichrazim/resultsDetailed.aspx?id=81497&amp;rc=22&amp;tr=79" TargetMode="External"/><Relationship Id="rId1611" Type="http://schemas.openxmlformats.org/officeDocument/2006/relationships/hyperlink" Target="http://www.land.gov.il/TozaotMichrazim/resultsDetailed.aspx?id=86507&amp;rc=98&amp;tr=674" TargetMode="External"/><Relationship Id="rId1849" Type="http://schemas.openxmlformats.org/officeDocument/2006/relationships/hyperlink" Target="http://www.land.gov.il/TozaotMichrazim/resultsDetailed.aspx?id=79929&amp;rc=365&amp;tr=674" TargetMode="External"/><Relationship Id="rId192" Type="http://schemas.openxmlformats.org/officeDocument/2006/relationships/hyperlink" Target="http://www.land.gov.il/TozaotMichrazim/resultsDetailed.aspx?id=84913&amp;rc=58&amp;tr=1693" TargetMode="External"/><Relationship Id="rId1709" Type="http://schemas.openxmlformats.org/officeDocument/2006/relationships/hyperlink" Target="http://www.land.gov.il/TozaotMichrazim/resultsDetailed.aspx?id=81287&amp;rc=220&amp;tr=674" TargetMode="External"/><Relationship Id="rId1916" Type="http://schemas.openxmlformats.org/officeDocument/2006/relationships/hyperlink" Target="http://www.land.gov.il/TozaotMichrazim/resultsDetailed.aspx?id=76935&amp;rc=437&amp;tr=674" TargetMode="External"/><Relationship Id="rId497" Type="http://schemas.openxmlformats.org/officeDocument/2006/relationships/hyperlink" Target="http://www.land.gov.il/TozaotMichrazim/resultsDetailed.aspx?id=85237&amp;rc=382&amp;tr=1693" TargetMode="External"/><Relationship Id="rId2080" Type="http://schemas.openxmlformats.org/officeDocument/2006/relationships/hyperlink" Target="http://www.land.gov.il/TozaotMichrazim/resultsDetailed.aspx?id=87061&amp;rc=21&amp;tr=115" TargetMode="External"/><Relationship Id="rId2178" Type="http://schemas.openxmlformats.org/officeDocument/2006/relationships/hyperlink" Target="http://www.land.gov.il/PirsumMichrazim/Aspx/pirsumDetails.aspx?id=1012016%FA%E0&amp;rc=1&amp;tr=2" TargetMode="External"/><Relationship Id="rId2385" Type="http://schemas.openxmlformats.org/officeDocument/2006/relationships/hyperlink" Target="http://www.land.gov.il/TozaotMichrazim/resultsDetailed.aspx?id=87290&amp;rc=336&amp;tr=424" TargetMode="External"/><Relationship Id="rId357" Type="http://schemas.openxmlformats.org/officeDocument/2006/relationships/hyperlink" Target="http://www.land.gov.il/TozaotMichrazim/resultsDetailed.aspx?id=85083&amp;rc=228&amp;tr=1693" TargetMode="External"/><Relationship Id="rId1194" Type="http://schemas.openxmlformats.org/officeDocument/2006/relationships/hyperlink" Target="http://www.land.gov.il/TozaotMichrazim/resultsDetailed.aspx?id=83134&amp;rc=1233&amp;tr=1693" TargetMode="External"/><Relationship Id="rId2038" Type="http://schemas.openxmlformats.org/officeDocument/2006/relationships/hyperlink" Target="http://www.land.gov.il/TozaotMichrazim/resultsDetailed.aspx?id=79139&amp;rc=64&amp;tr=440" TargetMode="External"/><Relationship Id="rId2592" Type="http://schemas.openxmlformats.org/officeDocument/2006/relationships/control" Target="../activeX/activeX53.xml"/><Relationship Id="rId217" Type="http://schemas.openxmlformats.org/officeDocument/2006/relationships/hyperlink" Target="http://www.land.gov.il/TozaotMichrazim/resultsDetailed.aspx?id=84938&amp;rc=83&amp;tr=1693" TargetMode="External"/><Relationship Id="rId564" Type="http://schemas.openxmlformats.org/officeDocument/2006/relationships/hyperlink" Target="http://www.land.gov.il/TozaotMichrazim/resultsDetailed.aspx?id=85321&amp;rc=466&amp;tr=1693" TargetMode="External"/><Relationship Id="rId771" Type="http://schemas.openxmlformats.org/officeDocument/2006/relationships/hyperlink" Target="http://www.land.gov.il/TozaotMichrazim/resultsDetailed.aspx?id=82628&amp;rc=727&amp;tr=1693" TargetMode="External"/><Relationship Id="rId869" Type="http://schemas.openxmlformats.org/officeDocument/2006/relationships/hyperlink" Target="http://www.land.gov.il/TozaotMichrazim/resultsDetailed.aspx?id=82757&amp;rc=856&amp;tr=1693" TargetMode="External"/><Relationship Id="rId1499" Type="http://schemas.openxmlformats.org/officeDocument/2006/relationships/hyperlink" Target="http://www.land.gov.il/TozaotMichrazim/resultsDetailed.aspx?id=80133&amp;rc=95&amp;tr=421" TargetMode="External"/><Relationship Id="rId2245" Type="http://schemas.openxmlformats.org/officeDocument/2006/relationships/hyperlink" Target="http://www.land.gov.il/TozaotMichrazim/resultsDetailed.aspx?id=87849&amp;rc=29&amp;tr=424" TargetMode="External"/><Relationship Id="rId2452" Type="http://schemas.openxmlformats.org/officeDocument/2006/relationships/hyperlink" Target="http://www.land.gov.il/TozaotMichrazim/resultsDetailed.aspx?id=85576&amp;rc=4&amp;tr=87" TargetMode="External"/><Relationship Id="rId424" Type="http://schemas.openxmlformats.org/officeDocument/2006/relationships/hyperlink" Target="http://www.land.gov.il/TozaotMichrazim/resultsDetailed.aspx?id=85160&amp;rc=305&amp;tr=1693" TargetMode="External"/><Relationship Id="rId631" Type="http://schemas.openxmlformats.org/officeDocument/2006/relationships/hyperlink" Target="http://www.land.gov.il/TozaotMichrazim/resultsDetailed.aspx?id=85409&amp;rc=554&amp;tr=1693" TargetMode="External"/><Relationship Id="rId729" Type="http://schemas.openxmlformats.org/officeDocument/2006/relationships/hyperlink" Target="http://www.land.gov.il/TozaotMichrazim/resultsDetailed.aspx?id=85529&amp;rc=674&amp;tr=1693" TargetMode="External"/><Relationship Id="rId1054" Type="http://schemas.openxmlformats.org/officeDocument/2006/relationships/hyperlink" Target="http://www.land.gov.il/TozaotMichrazim/resultsDetailed.aspx?id=82972&amp;rc=1071&amp;tr=1693" TargetMode="External"/><Relationship Id="rId1261" Type="http://schemas.openxmlformats.org/officeDocument/2006/relationships/hyperlink" Target="http://www.land.gov.il/TozaotMichrazim/resultsDetailed.aspx?id=79334&amp;rc=1314&amp;tr=1693" TargetMode="External"/><Relationship Id="rId1359" Type="http://schemas.openxmlformats.org/officeDocument/2006/relationships/hyperlink" Target="http://www.land.gov.il/TozaotMichrazim/resultsDetailed.aspx?id=76260&amp;rc=1412&amp;tr=1693" TargetMode="External"/><Relationship Id="rId2105" Type="http://schemas.openxmlformats.org/officeDocument/2006/relationships/hyperlink" Target="http://www.land.gov.il/TozaotMichrazim/resultsDetailed.aspx?id=78033&amp;rc=21&amp;tr=100" TargetMode="External"/><Relationship Id="rId2312" Type="http://schemas.openxmlformats.org/officeDocument/2006/relationships/hyperlink" Target="http://www.land.gov.il/TozaotMichrazim/resultsDetailed.aspx?id=87681&amp;rc=259&amp;tr=424" TargetMode="External"/><Relationship Id="rId2757" Type="http://schemas.openxmlformats.org/officeDocument/2006/relationships/control" Target="../activeX/activeX218.xml"/><Relationship Id="rId936" Type="http://schemas.openxmlformats.org/officeDocument/2006/relationships/hyperlink" Target="http://www.land.gov.il/TozaotMichrazim/resultsDetailed.aspx?id=82829&amp;rc=928&amp;tr=1693" TargetMode="External"/><Relationship Id="rId1121" Type="http://schemas.openxmlformats.org/officeDocument/2006/relationships/hyperlink" Target="http://www.land.gov.il/TozaotMichrazim/resultsDetailed.aspx?id=83052&amp;rc=1151&amp;tr=1693" TargetMode="External"/><Relationship Id="rId1219" Type="http://schemas.openxmlformats.org/officeDocument/2006/relationships/hyperlink" Target="http://www.land.gov.il/TozaotMichrazim/resultsDetailed.aspx?id=83166&amp;rc=1265&amp;tr=1693" TargetMode="External"/><Relationship Id="rId1566" Type="http://schemas.openxmlformats.org/officeDocument/2006/relationships/hyperlink" Target="http://www.land.gov.il/TozaotMichrazim/resultsDetailed.aspx?id=86462&amp;rc=53&amp;tr=674" TargetMode="External"/><Relationship Id="rId1773" Type="http://schemas.openxmlformats.org/officeDocument/2006/relationships/hyperlink" Target="http://www.land.gov.il/TozaotMichrazim/resultsDetailed.aspx?id=81353&amp;rc=286&amp;tr=674" TargetMode="External"/><Relationship Id="rId1980" Type="http://schemas.openxmlformats.org/officeDocument/2006/relationships/hyperlink" Target="http://www.land.gov.il/TozaotMichrazim/resultsDetailed.aspx?id=87127&amp;rc=1&amp;tr=440" TargetMode="External"/><Relationship Id="rId2617" Type="http://schemas.openxmlformats.org/officeDocument/2006/relationships/control" Target="../activeX/activeX78.xml"/><Relationship Id="rId65" Type="http://schemas.openxmlformats.org/officeDocument/2006/relationships/hyperlink" Target="http://www.land.gov.il/TozaotMichrazim/resultsDetailed.aspx?id=84648&amp;rc=59&amp;tr=685" TargetMode="External"/><Relationship Id="rId1426" Type="http://schemas.openxmlformats.org/officeDocument/2006/relationships/hyperlink" Target="http://www.land.gov.il/TozaotMichrazim/resultsDetailed.aspx?id=87239&amp;rc=13&amp;tr=421" TargetMode="External"/><Relationship Id="rId1633" Type="http://schemas.openxmlformats.org/officeDocument/2006/relationships/hyperlink" Target="http://www.land.gov.il/TozaotMichrazim/resultsDetailed.aspx?id=86529&amp;rc=120&amp;tr=674" TargetMode="External"/><Relationship Id="rId1840" Type="http://schemas.openxmlformats.org/officeDocument/2006/relationships/hyperlink" Target="http://www.land.gov.il/TozaotMichrazim/resultsDetailed.aspx?id=79920&amp;rc=356&amp;tr=674" TargetMode="External"/><Relationship Id="rId1700" Type="http://schemas.openxmlformats.org/officeDocument/2006/relationships/hyperlink" Target="http://www.land.gov.il/TozaotMichrazim/resultsDetailed.aspx?id=81276&amp;rc=209&amp;tr=674" TargetMode="External"/><Relationship Id="rId1938" Type="http://schemas.openxmlformats.org/officeDocument/2006/relationships/hyperlink" Target="http://www.land.gov.il/TozaotMichrazim/resultsDetailed.aspx?id=76971&amp;rc=473&amp;tr=674" TargetMode="External"/><Relationship Id="rId281" Type="http://schemas.openxmlformats.org/officeDocument/2006/relationships/hyperlink" Target="http://www.land.gov.il/TozaotMichrazim/resultsDetailed.aspx?id=85007&amp;rc=152&amp;tr=1693" TargetMode="External"/><Relationship Id="rId141" Type="http://schemas.openxmlformats.org/officeDocument/2006/relationships/hyperlink" Target="http://www.land.gov.il/TozaotMichrazim/resultsDetailed.aspx?id=76749&amp;rc=141&amp;tr=685" TargetMode="External"/><Relationship Id="rId379" Type="http://schemas.openxmlformats.org/officeDocument/2006/relationships/hyperlink" Target="http://www.land.gov.il/TozaotMichrazim/resultsDetailed.aspx?id=85105&amp;rc=250&amp;tr=1693" TargetMode="External"/><Relationship Id="rId586" Type="http://schemas.openxmlformats.org/officeDocument/2006/relationships/hyperlink" Target="http://www.land.gov.il/TozaotMichrazim/resultsDetailed.aspx?id=85345&amp;rc=490&amp;tr=1693" TargetMode="External"/><Relationship Id="rId793" Type="http://schemas.openxmlformats.org/officeDocument/2006/relationships/hyperlink" Target="http://www.land.gov.il/TozaotMichrazim/resultsDetailed.aspx?id=82660&amp;rc=759&amp;tr=1693" TargetMode="External"/><Relationship Id="rId2267" Type="http://schemas.openxmlformats.org/officeDocument/2006/relationships/hyperlink" Target="http://www.land.gov.il/TozaotMichrazim/resultsDetailed.aspx?id=87772&amp;rc=212&amp;tr=424" TargetMode="External"/><Relationship Id="rId2474" Type="http://schemas.openxmlformats.org/officeDocument/2006/relationships/hyperlink" Target="http://www.land.gov.il/TozaotMichrazim/resultsDetailed.aspx?id=84585&amp;rc=26&amp;tr=87" TargetMode="External"/><Relationship Id="rId2681" Type="http://schemas.openxmlformats.org/officeDocument/2006/relationships/control" Target="../activeX/activeX142.xml"/><Relationship Id="rId7" Type="http://schemas.openxmlformats.org/officeDocument/2006/relationships/hyperlink" Target="http://www.land.gov.il/TozaotMichrazim/resultsDetailed.aspx?id=87110&amp;rc=1&amp;tr=685" TargetMode="External"/><Relationship Id="rId239" Type="http://schemas.openxmlformats.org/officeDocument/2006/relationships/hyperlink" Target="http://www.land.gov.il/TozaotMichrazim/resultsDetailed.aspx?id=84961&amp;rc=106&amp;tr=1693" TargetMode="External"/><Relationship Id="rId446" Type="http://schemas.openxmlformats.org/officeDocument/2006/relationships/hyperlink" Target="http://www.land.gov.il/TozaotMichrazim/resultsDetailed.aspx?id=85182&amp;rc=327&amp;tr=1693" TargetMode="External"/><Relationship Id="rId653" Type="http://schemas.openxmlformats.org/officeDocument/2006/relationships/hyperlink" Target="http://www.land.gov.il/TozaotMichrazim/resultsDetailed.aspx?id=85435&amp;rc=580&amp;tr=1693" TargetMode="External"/><Relationship Id="rId1076" Type="http://schemas.openxmlformats.org/officeDocument/2006/relationships/hyperlink" Target="http://www.land.gov.il/TozaotMichrazim/resultsDetailed.aspx?id=83001&amp;rc=1100&amp;tr=1693" TargetMode="External"/><Relationship Id="rId1283" Type="http://schemas.openxmlformats.org/officeDocument/2006/relationships/hyperlink" Target="http://www.land.gov.il/TozaotMichrazim/resultsDetailed.aspx?id=79356&amp;rc=1336&amp;tr=1693" TargetMode="External"/><Relationship Id="rId1490" Type="http://schemas.openxmlformats.org/officeDocument/2006/relationships/hyperlink" Target="http://www.land.gov.il/TozaotMichrazim/resultsDetailed.aspx?id=80124&amp;rc=86&amp;tr=421" TargetMode="External"/><Relationship Id="rId2127" Type="http://schemas.openxmlformats.org/officeDocument/2006/relationships/hyperlink" Target="http://www.land.gov.il/shivukweb/pages/Prj_ashkelonM7.html" TargetMode="External"/><Relationship Id="rId2334" Type="http://schemas.openxmlformats.org/officeDocument/2006/relationships/hyperlink" Target="http://www.land.gov.il/TozaotMichrazim/resultsDetailed.aspx?id=87703&amp;rc=281&amp;tr=424" TargetMode="External"/><Relationship Id="rId2779" Type="http://schemas.openxmlformats.org/officeDocument/2006/relationships/control" Target="../activeX/activeX240.xml"/><Relationship Id="rId306" Type="http://schemas.openxmlformats.org/officeDocument/2006/relationships/hyperlink" Target="http://www.land.gov.il/TozaotMichrazim/resultsDetailed.aspx?id=85032&amp;rc=177&amp;tr=1693" TargetMode="External"/><Relationship Id="rId860" Type="http://schemas.openxmlformats.org/officeDocument/2006/relationships/hyperlink" Target="http://www.land.gov.il/TozaotMichrazim/resultsDetailed.aspx?id=82748&amp;rc=847&amp;tr=1693" TargetMode="External"/><Relationship Id="rId958" Type="http://schemas.openxmlformats.org/officeDocument/2006/relationships/hyperlink" Target="http://www.land.gov.il/TozaotMichrazim/resultsDetailed.aspx?id=82854&amp;rc=953&amp;tr=1693" TargetMode="External"/><Relationship Id="rId1143" Type="http://schemas.openxmlformats.org/officeDocument/2006/relationships/hyperlink" Target="http://www.land.gov.il/TozaotMichrazim/resultsDetailed.aspx?id=83076&amp;rc=1175&amp;tr=1693" TargetMode="External"/><Relationship Id="rId1588" Type="http://schemas.openxmlformats.org/officeDocument/2006/relationships/hyperlink" Target="http://www.land.gov.il/TozaotMichrazim/resultsDetailed.aspx?id=86484&amp;rc=75&amp;tr=674" TargetMode="External"/><Relationship Id="rId1795" Type="http://schemas.openxmlformats.org/officeDocument/2006/relationships/hyperlink" Target="http://www.land.gov.il/TozaotMichrazim/resultsDetailed.aspx?id=81378&amp;rc=311&amp;tr=674" TargetMode="External"/><Relationship Id="rId2541" Type="http://schemas.openxmlformats.org/officeDocument/2006/relationships/control" Target="../activeX/activeX2.xml"/><Relationship Id="rId2639" Type="http://schemas.openxmlformats.org/officeDocument/2006/relationships/control" Target="../activeX/activeX100.xml"/><Relationship Id="rId87" Type="http://schemas.openxmlformats.org/officeDocument/2006/relationships/hyperlink" Target="http://www.land.gov.il/TozaotMichrazim/resultsDetailed.aspx?id=84670&amp;rc=81&amp;tr=685" TargetMode="External"/><Relationship Id="rId513" Type="http://schemas.openxmlformats.org/officeDocument/2006/relationships/hyperlink" Target="http://www.land.gov.il/TozaotMichrazim/resultsDetailed.aspx?id=85262&amp;rc=407&amp;tr=1693" TargetMode="External"/><Relationship Id="rId720" Type="http://schemas.openxmlformats.org/officeDocument/2006/relationships/hyperlink" Target="http://www.land.gov.il/TozaotMichrazim/resultsDetailed.aspx?id=85512&amp;rc=657&amp;tr=1693" TargetMode="External"/><Relationship Id="rId818" Type="http://schemas.openxmlformats.org/officeDocument/2006/relationships/hyperlink" Target="http://www.land.gov.il/TozaotMichrazim/resultsDetailed.aspx?id=82696&amp;rc=795&amp;tr=1693" TargetMode="External"/><Relationship Id="rId1350" Type="http://schemas.openxmlformats.org/officeDocument/2006/relationships/hyperlink" Target="http://www.land.gov.il/TozaotMichrazim/resultsDetailed.aspx?id=76251&amp;rc=1403&amp;tr=1693" TargetMode="External"/><Relationship Id="rId1448" Type="http://schemas.openxmlformats.org/officeDocument/2006/relationships/hyperlink" Target="http://www.land.gov.il/TozaotMichrazim/resultsDetailed.aspx?id=86269&amp;rc=37&amp;tr=421" TargetMode="External"/><Relationship Id="rId1655" Type="http://schemas.openxmlformats.org/officeDocument/2006/relationships/hyperlink" Target="http://www.land.gov.il/TozaotMichrazim/resultsDetailed.aspx?id=86387&amp;rc=142&amp;tr=674" TargetMode="External"/><Relationship Id="rId2401" Type="http://schemas.openxmlformats.org/officeDocument/2006/relationships/hyperlink" Target="http://www.land.gov.il/TozaotMichrazim/resultsDetailed.aspx?id=87306&amp;rc=352&amp;tr=424" TargetMode="External"/><Relationship Id="rId2706" Type="http://schemas.openxmlformats.org/officeDocument/2006/relationships/control" Target="../activeX/activeX167.xml"/><Relationship Id="rId1003" Type="http://schemas.openxmlformats.org/officeDocument/2006/relationships/hyperlink" Target="http://www.land.gov.il/TozaotMichrazim/resultsDetailed.aspx?id=82913&amp;rc=1012&amp;tr=1693" TargetMode="External"/><Relationship Id="rId1210" Type="http://schemas.openxmlformats.org/officeDocument/2006/relationships/hyperlink" Target="http://www.land.gov.il/TozaotMichrazim/resultsDetailed.aspx?id=83151&amp;rc=1250&amp;tr=1693" TargetMode="External"/><Relationship Id="rId1308" Type="http://schemas.openxmlformats.org/officeDocument/2006/relationships/hyperlink" Target="http://www.land.gov.il/TozaotMichrazim/resultsDetailed.aspx?id=78784&amp;rc=1361&amp;tr=1693" TargetMode="External"/><Relationship Id="rId1862" Type="http://schemas.openxmlformats.org/officeDocument/2006/relationships/hyperlink" Target="http://www.land.gov.il/TozaotMichrazim/resultsDetailed.aspx?id=79942&amp;rc=378&amp;tr=674" TargetMode="External"/><Relationship Id="rId1515" Type="http://schemas.openxmlformats.org/officeDocument/2006/relationships/hyperlink" Target="http://www.land.gov.il/TozaotMichrazim/resultsDetailed.aspx?id=86744&amp;rc=2&amp;tr=674" TargetMode="External"/><Relationship Id="rId1722" Type="http://schemas.openxmlformats.org/officeDocument/2006/relationships/hyperlink" Target="http://www.land.gov.il/TozaotMichrazim/resultsDetailed.aspx?id=81301&amp;rc=234&amp;tr=674" TargetMode="External"/><Relationship Id="rId14" Type="http://schemas.openxmlformats.org/officeDocument/2006/relationships/hyperlink" Target="http://www.land.gov.il/TozaotMichrazim/resultsDetailed.aspx?id=84736&amp;rc=8&amp;tr=685" TargetMode="External"/><Relationship Id="rId2191" Type="http://schemas.openxmlformats.org/officeDocument/2006/relationships/hyperlink" Target="http://www.land.gov.il/PirsumMichrazim/Aspx/pirsumDetails.aspx?id=2532015%E1%F9&amp;rc=14&amp;tr=196" TargetMode="External"/><Relationship Id="rId163" Type="http://schemas.openxmlformats.org/officeDocument/2006/relationships/hyperlink" Target="http://www.land.gov.il/TozaotMichrazim/resultsDetailed.aspx?id=86060&amp;rc=26&amp;tr=1693" TargetMode="External"/><Relationship Id="rId370" Type="http://schemas.openxmlformats.org/officeDocument/2006/relationships/hyperlink" Target="http://www.land.gov.il/TozaotMichrazim/resultsDetailed.aspx?id=85096&amp;rc=241&amp;tr=1693" TargetMode="External"/><Relationship Id="rId2051" Type="http://schemas.openxmlformats.org/officeDocument/2006/relationships/hyperlink" Target="http://www.land.gov.il/TozaotMichrazim/resultsDetailed.aspx?id=81860&amp;rc=19&amp;tr=155" TargetMode="External"/><Relationship Id="rId2289" Type="http://schemas.openxmlformats.org/officeDocument/2006/relationships/hyperlink" Target="http://www.land.gov.il/TozaotMichrazim/resultsDetailed.aspx?id=87658&amp;rc=236&amp;tr=424" TargetMode="External"/><Relationship Id="rId2496" Type="http://schemas.openxmlformats.org/officeDocument/2006/relationships/hyperlink" Target="http://www.land.gov.il/TozaotMichrazim/resultsDetailed.aspx?id=71523&amp;rc=48&amp;tr=87" TargetMode="External"/><Relationship Id="rId230" Type="http://schemas.openxmlformats.org/officeDocument/2006/relationships/hyperlink" Target="http://www.land.gov.il/TozaotMichrazim/resultsDetailed.aspx?id=84951&amp;rc=96&amp;tr=1693" TargetMode="External"/><Relationship Id="rId468" Type="http://schemas.openxmlformats.org/officeDocument/2006/relationships/hyperlink" Target="http://www.land.gov.il/TozaotMichrazim/resultsDetailed.aspx?id=85204&amp;rc=349&amp;tr=1693" TargetMode="External"/><Relationship Id="rId675" Type="http://schemas.openxmlformats.org/officeDocument/2006/relationships/hyperlink" Target="http://www.land.gov.il/TozaotMichrazim/resultsDetailed.aspx?id=85461&amp;rc=606&amp;tr=1693" TargetMode="External"/><Relationship Id="rId882" Type="http://schemas.openxmlformats.org/officeDocument/2006/relationships/hyperlink" Target="http://www.land.gov.il/TozaotMichrazim/resultsDetailed.aspx?id=82771&amp;rc=870&amp;tr=1693" TargetMode="External"/><Relationship Id="rId1098" Type="http://schemas.openxmlformats.org/officeDocument/2006/relationships/hyperlink" Target="http://www.land.gov.il/TozaotMichrazim/resultsDetailed.aspx?id=83026&amp;rc=1125&amp;tr=1693" TargetMode="External"/><Relationship Id="rId2149" Type="http://schemas.openxmlformats.org/officeDocument/2006/relationships/hyperlink" Target="http://www.land.gov.il/IturTabot2/taba2.aspx?tbMerchav=401&amp;tUniqueID=0&amp;sSug=~&amp;tblView=tblView_e7094ece23db&amp;tbMsTochnit=420-0138651" TargetMode="External"/><Relationship Id="rId2356" Type="http://schemas.openxmlformats.org/officeDocument/2006/relationships/hyperlink" Target="http://www.land.gov.il/TozaotMichrazim/resultsDetailed.aspx?id=87725&amp;rc=303&amp;tr=424" TargetMode="External"/><Relationship Id="rId2563" Type="http://schemas.openxmlformats.org/officeDocument/2006/relationships/control" Target="../activeX/activeX24.xml"/><Relationship Id="rId2770" Type="http://schemas.openxmlformats.org/officeDocument/2006/relationships/control" Target="../activeX/activeX231.xml"/><Relationship Id="rId328" Type="http://schemas.openxmlformats.org/officeDocument/2006/relationships/hyperlink" Target="http://www.land.gov.il/TozaotMichrazim/resultsDetailed.aspx?id=85054&amp;rc=199&amp;tr=1693" TargetMode="External"/><Relationship Id="rId535" Type="http://schemas.openxmlformats.org/officeDocument/2006/relationships/hyperlink" Target="http://www.land.gov.il/TozaotMichrazim/resultsDetailed.aspx?id=85287&amp;rc=432&amp;tr=1693" TargetMode="External"/><Relationship Id="rId742" Type="http://schemas.openxmlformats.org/officeDocument/2006/relationships/hyperlink" Target="http://www.land.gov.il/TozaotMichrazim/resultsDetailed.aspx?id=85549&amp;rc=694&amp;tr=1693" TargetMode="External"/><Relationship Id="rId1165" Type="http://schemas.openxmlformats.org/officeDocument/2006/relationships/hyperlink" Target="http://www.land.gov.il/TozaotMichrazim/resultsDetailed.aspx?id=83104&amp;rc=1203&amp;tr=1693" TargetMode="External"/><Relationship Id="rId1372" Type="http://schemas.openxmlformats.org/officeDocument/2006/relationships/hyperlink" Target="http://www.land.gov.il/TozaotMichrazim/resultsDetailed.aspx?id=76273&amp;rc=1425&amp;tr=1693" TargetMode="External"/><Relationship Id="rId2009" Type="http://schemas.openxmlformats.org/officeDocument/2006/relationships/hyperlink" Target="http://www.land.gov.il/TozaotMichrazim/resultsDetailed.aspx?id=83638&amp;rc=35&amp;tr=440" TargetMode="External"/><Relationship Id="rId2216" Type="http://schemas.openxmlformats.org/officeDocument/2006/relationships/hyperlink" Target="http://www.land.gov.il/TozaotMichrazim/Results.aspx?NewSearch=true&amp;ynmichraz=2014&amp;anMichraz=%e7%e9&amp;Nnmichraz=340" TargetMode="External"/><Relationship Id="rId2423" Type="http://schemas.openxmlformats.org/officeDocument/2006/relationships/hyperlink" Target="http://www.land.gov.il/TozaotMichrazim/resultsDetailed.aspx?id=87347&amp;rc=391&amp;tr=424" TargetMode="External"/><Relationship Id="rId2630" Type="http://schemas.openxmlformats.org/officeDocument/2006/relationships/control" Target="../activeX/activeX91.xml"/><Relationship Id="rId602" Type="http://schemas.openxmlformats.org/officeDocument/2006/relationships/hyperlink" Target="http://www.land.gov.il/TozaotMichrazim/resultsDetailed.aspx?id=85374&amp;rc=519&amp;tr=1693" TargetMode="External"/><Relationship Id="rId1025" Type="http://schemas.openxmlformats.org/officeDocument/2006/relationships/hyperlink" Target="http://www.land.gov.il/TozaotMichrazim/resultsDetailed.aspx?id=82937&amp;rc=1036&amp;tr=1693" TargetMode="External"/><Relationship Id="rId1232" Type="http://schemas.openxmlformats.org/officeDocument/2006/relationships/hyperlink" Target="http://www.land.gov.il/TozaotMichrazim/resultsDetailed.aspx?id=83184&amp;rc=1283&amp;tr=1693" TargetMode="External"/><Relationship Id="rId1677" Type="http://schemas.openxmlformats.org/officeDocument/2006/relationships/hyperlink" Target="http://www.land.gov.il/TozaotMichrazim/resultsDetailed.aspx?id=84589&amp;rc=167&amp;tr=674" TargetMode="External"/><Relationship Id="rId1884" Type="http://schemas.openxmlformats.org/officeDocument/2006/relationships/hyperlink" Target="http://www.land.gov.il/TozaotMichrazim/resultsDetailed.aspx?id=79964&amp;rc=400&amp;tr=674" TargetMode="External"/><Relationship Id="rId2728" Type="http://schemas.openxmlformats.org/officeDocument/2006/relationships/control" Target="../activeX/activeX189.xml"/><Relationship Id="rId907" Type="http://schemas.openxmlformats.org/officeDocument/2006/relationships/hyperlink" Target="http://www.land.gov.il/TozaotMichrazim/resultsDetailed.aspx?id=82797&amp;rc=896&amp;tr=1693" TargetMode="External"/><Relationship Id="rId1537" Type="http://schemas.openxmlformats.org/officeDocument/2006/relationships/hyperlink" Target="http://www.land.gov.il/TozaotMichrazim/resultsDetailed.aspx?id=86433&amp;rc=24&amp;tr=674" TargetMode="External"/><Relationship Id="rId1744" Type="http://schemas.openxmlformats.org/officeDocument/2006/relationships/hyperlink" Target="http://www.land.gov.il/TozaotMichrazim/resultsDetailed.aspx?id=81324&amp;rc=257&amp;tr=674" TargetMode="External"/><Relationship Id="rId1951" Type="http://schemas.openxmlformats.org/officeDocument/2006/relationships/hyperlink" Target="http://www.land.gov.il/TozaotMichrazim/resultsDetailed.aspx?id=76985&amp;rc=487&amp;tr=674" TargetMode="External"/><Relationship Id="rId36" Type="http://schemas.openxmlformats.org/officeDocument/2006/relationships/hyperlink" Target="http://www.land.gov.il/TozaotMichrazim/resultsDetailed.aspx?id=84619&amp;rc=30&amp;tr=685" TargetMode="External"/><Relationship Id="rId1604" Type="http://schemas.openxmlformats.org/officeDocument/2006/relationships/hyperlink" Target="http://www.land.gov.il/TozaotMichrazim/resultsDetailed.aspx?id=86500&amp;rc=91&amp;tr=674" TargetMode="External"/><Relationship Id="rId185" Type="http://schemas.openxmlformats.org/officeDocument/2006/relationships/hyperlink" Target="http://www.land.gov.il/TozaotMichrazim/resultsDetailed.aspx?id=84905&amp;rc=50&amp;tr=1693" TargetMode="External"/><Relationship Id="rId1811" Type="http://schemas.openxmlformats.org/officeDocument/2006/relationships/hyperlink" Target="http://www.land.gov.il/TozaotMichrazim/resultsDetailed.aspx?id=81394&amp;rc=327&amp;tr=674" TargetMode="External"/><Relationship Id="rId1909" Type="http://schemas.openxmlformats.org/officeDocument/2006/relationships/hyperlink" Target="http://www.land.gov.il/TozaotMichrazim/resultsDetailed.aspx?id=79151&amp;rc=425&amp;tr=674" TargetMode="External"/><Relationship Id="rId392" Type="http://schemas.openxmlformats.org/officeDocument/2006/relationships/hyperlink" Target="http://www.land.gov.il/TozaotMichrazim/resultsDetailed.aspx?id=85119&amp;rc=264&amp;tr=1693" TargetMode="External"/><Relationship Id="rId697" Type="http://schemas.openxmlformats.org/officeDocument/2006/relationships/hyperlink" Target="http://www.land.gov.il/TozaotMichrazim/resultsDetailed.aspx?id=85484&amp;rc=629&amp;tr=1693" TargetMode="External"/><Relationship Id="rId2073" Type="http://schemas.openxmlformats.org/officeDocument/2006/relationships/hyperlink" Target="http://www.land.gov.il/TozaotMichrazim/resultsDetailed.aspx?id=87054&amp;rc=14&amp;tr=115" TargetMode="External"/><Relationship Id="rId2280" Type="http://schemas.openxmlformats.org/officeDocument/2006/relationships/hyperlink" Target="http://www.land.gov.il/TozaotMichrazim/resultsDetailed.aspx?id=87649&amp;rc=227&amp;tr=424" TargetMode="External"/><Relationship Id="rId2378" Type="http://schemas.openxmlformats.org/officeDocument/2006/relationships/hyperlink" Target="http://www.land.gov.il/TozaotMichrazim/resultsDetailed.aspx?id=87747&amp;rc=325&amp;tr=424" TargetMode="External"/><Relationship Id="rId252" Type="http://schemas.openxmlformats.org/officeDocument/2006/relationships/hyperlink" Target="http://www.land.gov.il/TozaotMichrazim/resultsDetailed.aspx?id=84978&amp;rc=123&amp;tr=1693" TargetMode="External"/><Relationship Id="rId1187" Type="http://schemas.openxmlformats.org/officeDocument/2006/relationships/hyperlink" Target="http://www.land.gov.il/TozaotMichrazim/resultsDetailed.aspx?id=83126&amp;rc=1225&amp;tr=1693" TargetMode="External"/><Relationship Id="rId2140" Type="http://schemas.openxmlformats.org/officeDocument/2006/relationships/hyperlink" Target="http://www.land.gov.il/IturTabot2/taba2.aspx?tbMerchav=417&amp;tUniqueID=0&amp;sSug=23%2c24%2c26%2c72%2c21%2c20%2c62%2c31%2c41%2c25%2c22%2c13%2c61%2c32%2c40%2c9%2c12%2c60%2c71%2c70%2c67%2c68%2c69%2c30%2c50&amp;tblView=tblView_321ef4a38839&amp;tbMsTochnit=%25u05e8%25u05e6/129/22/1" TargetMode="External"/><Relationship Id="rId2585" Type="http://schemas.openxmlformats.org/officeDocument/2006/relationships/control" Target="../activeX/activeX46.xml"/><Relationship Id="rId2792" Type="http://schemas.openxmlformats.org/officeDocument/2006/relationships/control" Target="../activeX/activeX253.xml"/><Relationship Id="rId112" Type="http://schemas.openxmlformats.org/officeDocument/2006/relationships/hyperlink" Target="http://www.land.gov.il/TozaotMichrazim/resultsDetailed.aspx?id=81796&amp;rc=106&amp;tr=685" TargetMode="External"/><Relationship Id="rId557" Type="http://schemas.openxmlformats.org/officeDocument/2006/relationships/hyperlink" Target="http://www.land.gov.il/TozaotMichrazim/resultsDetailed.aspx?id=85312&amp;rc=457&amp;tr=1693" TargetMode="External"/><Relationship Id="rId764" Type="http://schemas.openxmlformats.org/officeDocument/2006/relationships/hyperlink" Target="http://www.land.gov.il/TozaotMichrazim/resultsDetailed.aspx?id=84816&amp;rc=720&amp;tr=1693" TargetMode="External"/><Relationship Id="rId971" Type="http://schemas.openxmlformats.org/officeDocument/2006/relationships/hyperlink" Target="http://www.land.gov.il/TozaotMichrazim/resultsDetailed.aspx?id=82867&amp;rc=966&amp;tr=1693" TargetMode="External"/><Relationship Id="rId1394" Type="http://schemas.openxmlformats.org/officeDocument/2006/relationships/hyperlink" Target="http://www.land.gov.il/TozaotMichrazim/resultsDetailed.aspx?id=84819&amp;rc=3&amp;tr=79" TargetMode="External"/><Relationship Id="rId1699" Type="http://schemas.openxmlformats.org/officeDocument/2006/relationships/hyperlink" Target="http://www.land.gov.il/TozaotMichrazim/resultsDetailed.aspx?id=81274&amp;rc=207&amp;tr=674" TargetMode="External"/><Relationship Id="rId2000" Type="http://schemas.openxmlformats.org/officeDocument/2006/relationships/hyperlink" Target="http://www.land.gov.il/TozaotMichrazim/resultsDetailed.aspx?id=83626&amp;rc=23&amp;tr=440" TargetMode="External"/><Relationship Id="rId2238" Type="http://schemas.openxmlformats.org/officeDocument/2006/relationships/hyperlink" Target="http://www.land.gov.il/TozaotMichrazim/resultsDetailed.aspx?id=87842&amp;rc=22&amp;tr=424" TargetMode="External"/><Relationship Id="rId2445" Type="http://schemas.openxmlformats.org/officeDocument/2006/relationships/hyperlink" Target="http://www.land.gov.il/TozaotMichrazim/resultsDetailed.aspx?id=87328&amp;rc=421&amp;tr=424" TargetMode="External"/><Relationship Id="rId2652" Type="http://schemas.openxmlformats.org/officeDocument/2006/relationships/control" Target="../activeX/activeX113.xml"/><Relationship Id="rId417" Type="http://schemas.openxmlformats.org/officeDocument/2006/relationships/hyperlink" Target="http://www.land.gov.il/TozaotMichrazim/resultsDetailed.aspx?id=85153&amp;rc=298&amp;tr=1693" TargetMode="External"/><Relationship Id="rId624" Type="http://schemas.openxmlformats.org/officeDocument/2006/relationships/hyperlink" Target="http://www.land.gov.il/TozaotMichrazim/resultsDetailed.aspx?id=85399&amp;rc=544&amp;tr=1693" TargetMode="External"/><Relationship Id="rId831" Type="http://schemas.openxmlformats.org/officeDocument/2006/relationships/hyperlink" Target="http://www.land.gov.il/TozaotMichrazim/resultsDetailed.aspx?id=82715&amp;rc=814&amp;tr=1693" TargetMode="External"/><Relationship Id="rId1047" Type="http://schemas.openxmlformats.org/officeDocument/2006/relationships/hyperlink" Target="http://www.land.gov.il/TozaotMichrazim/resultsDetailed.aspx?id=82963&amp;rc=1062&amp;tr=1693" TargetMode="External"/><Relationship Id="rId1254" Type="http://schemas.openxmlformats.org/officeDocument/2006/relationships/hyperlink" Target="http://www.land.gov.il/TozaotMichrazim/resultsDetailed.aspx?id=79327&amp;rc=1307&amp;tr=1693" TargetMode="External"/><Relationship Id="rId1461" Type="http://schemas.openxmlformats.org/officeDocument/2006/relationships/hyperlink" Target="http://www.land.gov.il/TozaotMichrazim/resultsDetailed.aspx?id=83302&amp;rc=50&amp;tr=421" TargetMode="External"/><Relationship Id="rId2305" Type="http://schemas.openxmlformats.org/officeDocument/2006/relationships/hyperlink" Target="http://www.land.gov.il/TozaotMichrazim/resultsDetailed.aspx?id=87674&amp;rc=252&amp;tr=424" TargetMode="External"/><Relationship Id="rId2512" Type="http://schemas.openxmlformats.org/officeDocument/2006/relationships/hyperlink" Target="http://www.land.gov.il/TozaotMichrazim/resultsDetailed.aspx?id=71352&amp;rc=64&amp;tr=87" TargetMode="External"/><Relationship Id="rId929" Type="http://schemas.openxmlformats.org/officeDocument/2006/relationships/hyperlink" Target="http://www.land.gov.il/TozaotMichrazim/resultsDetailed.aspx?id=82820&amp;rc=919&amp;tr=1693" TargetMode="External"/><Relationship Id="rId1114" Type="http://schemas.openxmlformats.org/officeDocument/2006/relationships/hyperlink" Target="http://www.land.gov.il/TozaotMichrazim/resultsDetailed.aspx?id=83044&amp;rc=1143&amp;tr=1693" TargetMode="External"/><Relationship Id="rId1321" Type="http://schemas.openxmlformats.org/officeDocument/2006/relationships/hyperlink" Target="http://www.land.gov.il/TozaotMichrazim/resultsDetailed.aspx?id=77005&amp;rc=1374&amp;tr=1693" TargetMode="External"/><Relationship Id="rId1559" Type="http://schemas.openxmlformats.org/officeDocument/2006/relationships/hyperlink" Target="http://www.land.gov.il/TozaotMichrazim/resultsDetailed.aspx?id=86455&amp;rc=46&amp;tr=674" TargetMode="External"/><Relationship Id="rId1766" Type="http://schemas.openxmlformats.org/officeDocument/2006/relationships/hyperlink" Target="http://www.land.gov.il/TozaotMichrazim/resultsDetailed.aspx?id=81346&amp;rc=279&amp;tr=674" TargetMode="External"/><Relationship Id="rId1973" Type="http://schemas.openxmlformats.org/officeDocument/2006/relationships/hyperlink" Target="http://www.land.gov.il/TozaotMichrazim/resultsDetailed.aspx?id=75020&amp;rc=510&amp;tr=674" TargetMode="External"/><Relationship Id="rId58" Type="http://schemas.openxmlformats.org/officeDocument/2006/relationships/hyperlink" Target="http://www.land.gov.il/TozaotMichrazim/resultsDetailed.aspx?id=84641&amp;rc=52&amp;tr=685" TargetMode="External"/><Relationship Id="rId1419" Type="http://schemas.openxmlformats.org/officeDocument/2006/relationships/hyperlink" Target="http://www.land.gov.il/TozaotMichrazim/resultsDetailed.aspx?id=87232&amp;rc=6&amp;tr=421" TargetMode="External"/><Relationship Id="rId1626" Type="http://schemas.openxmlformats.org/officeDocument/2006/relationships/hyperlink" Target="http://www.land.gov.il/TozaotMichrazim/resultsDetailed.aspx?id=86522&amp;rc=113&amp;tr=674" TargetMode="External"/><Relationship Id="rId1833" Type="http://schemas.openxmlformats.org/officeDocument/2006/relationships/hyperlink" Target="http://www.land.gov.il/TozaotMichrazim/resultsDetailed.aspx?id=81416&amp;rc=349&amp;tr=674" TargetMode="External"/><Relationship Id="rId1900" Type="http://schemas.openxmlformats.org/officeDocument/2006/relationships/hyperlink" Target="http://www.land.gov.il/TozaotMichrazim/resultsDetailed.aspx?id=79396&amp;rc=416&amp;tr=674" TargetMode="External"/><Relationship Id="rId2095" Type="http://schemas.openxmlformats.org/officeDocument/2006/relationships/hyperlink" Target="http://www.land.gov.il/TozaotMichrazim/resultsDetailed.aspx?id=84827&amp;rc=11&amp;tr=100" TargetMode="External"/><Relationship Id="rId274" Type="http://schemas.openxmlformats.org/officeDocument/2006/relationships/hyperlink" Target="http://www.land.gov.il/TozaotMichrazim/resultsDetailed.aspx?id=85000&amp;rc=145&amp;tr=1693" TargetMode="External"/><Relationship Id="rId481" Type="http://schemas.openxmlformats.org/officeDocument/2006/relationships/hyperlink" Target="http://www.land.gov.il/TozaotMichrazim/resultsDetailed.aspx?id=85218&amp;rc=363&amp;tr=1693" TargetMode="External"/><Relationship Id="rId2162" Type="http://schemas.openxmlformats.org/officeDocument/2006/relationships/hyperlink" Target="http://www.land.gov.il/PirsumMichrazim/Aspx/pirsumDetails.aspx?id=1392016%EE%F8&amp;rc=1&amp;tr=6" TargetMode="External"/><Relationship Id="rId134" Type="http://schemas.openxmlformats.org/officeDocument/2006/relationships/hyperlink" Target="http://www.land.gov.il/TozaotMichrazim/resultsDetailed.aspx?id=77015&amp;rc=133&amp;tr=685" TargetMode="External"/><Relationship Id="rId579" Type="http://schemas.openxmlformats.org/officeDocument/2006/relationships/hyperlink" Target="http://www.land.gov.il/TozaotMichrazim/resultsDetailed.aspx?id=85337&amp;rc=482&amp;tr=1693" TargetMode="External"/><Relationship Id="rId786" Type="http://schemas.openxmlformats.org/officeDocument/2006/relationships/hyperlink" Target="http://www.land.gov.il/TozaotMichrazim/resultsDetailed.aspx?id=82652&amp;rc=751&amp;tr=1693" TargetMode="External"/><Relationship Id="rId993" Type="http://schemas.openxmlformats.org/officeDocument/2006/relationships/hyperlink" Target="http://www.land.gov.il/TozaotMichrazim/resultsDetailed.aspx?id=82900&amp;rc=999&amp;tr=1693" TargetMode="External"/><Relationship Id="rId2467" Type="http://schemas.openxmlformats.org/officeDocument/2006/relationships/hyperlink" Target="http://www.land.gov.il/TozaotMichrazim/resultsDetailed.aspx?id=85591&amp;rc=19&amp;tr=87" TargetMode="External"/><Relationship Id="rId2674" Type="http://schemas.openxmlformats.org/officeDocument/2006/relationships/control" Target="../activeX/activeX135.xml"/><Relationship Id="rId341" Type="http://schemas.openxmlformats.org/officeDocument/2006/relationships/hyperlink" Target="http://www.land.gov.il/TozaotMichrazim/resultsDetailed.aspx?id=85067&amp;rc=212&amp;tr=1693" TargetMode="External"/><Relationship Id="rId439" Type="http://schemas.openxmlformats.org/officeDocument/2006/relationships/hyperlink" Target="http://www.land.gov.il/TozaotMichrazim/resultsDetailed.aspx?id=85175&amp;rc=320&amp;tr=1693" TargetMode="External"/><Relationship Id="rId646" Type="http://schemas.openxmlformats.org/officeDocument/2006/relationships/hyperlink" Target="http://www.land.gov.il/TozaotMichrazim/resultsDetailed.aspx?id=85428&amp;rc=573&amp;tr=1693" TargetMode="External"/><Relationship Id="rId1069" Type="http://schemas.openxmlformats.org/officeDocument/2006/relationships/hyperlink" Target="http://www.land.gov.il/TozaotMichrazim/resultsDetailed.aspx?id=82991&amp;rc=1090&amp;tr=1693" TargetMode="External"/><Relationship Id="rId1276" Type="http://schemas.openxmlformats.org/officeDocument/2006/relationships/hyperlink" Target="http://www.land.gov.il/TozaotMichrazim/resultsDetailed.aspx?id=79349&amp;rc=1329&amp;tr=1693" TargetMode="External"/><Relationship Id="rId1483" Type="http://schemas.openxmlformats.org/officeDocument/2006/relationships/hyperlink" Target="http://www.land.gov.il/TozaotMichrazim/resultsDetailed.aspx?id=80117&amp;rc=79&amp;tr=421" TargetMode="External"/><Relationship Id="rId2022" Type="http://schemas.openxmlformats.org/officeDocument/2006/relationships/hyperlink" Target="http://www.land.gov.il/TozaotMichrazim/resultsDetailed.aspx?id=79123&amp;rc=48&amp;tr=440" TargetMode="External"/><Relationship Id="rId2327" Type="http://schemas.openxmlformats.org/officeDocument/2006/relationships/hyperlink" Target="http://www.land.gov.il/TozaotMichrazim/resultsDetailed.aspx?id=87696&amp;rc=274&amp;tr=424" TargetMode="External"/><Relationship Id="rId201" Type="http://schemas.openxmlformats.org/officeDocument/2006/relationships/hyperlink" Target="http://www.land.gov.il/TozaotMichrazim/resultsDetailed.aspx?id=84922&amp;rc=67&amp;tr=1693" TargetMode="External"/><Relationship Id="rId506" Type="http://schemas.openxmlformats.org/officeDocument/2006/relationships/hyperlink" Target="http://www.land.gov.il/TozaotMichrazim/resultsDetailed.aspx?id=85253&amp;rc=398&amp;tr=1693" TargetMode="External"/><Relationship Id="rId853" Type="http://schemas.openxmlformats.org/officeDocument/2006/relationships/hyperlink" Target="http://www.land.gov.il/TozaotMichrazim/resultsDetailed.aspx?id=82740&amp;rc=839&amp;tr=1693" TargetMode="External"/><Relationship Id="rId1136" Type="http://schemas.openxmlformats.org/officeDocument/2006/relationships/hyperlink" Target="http://www.land.gov.il/TozaotMichrazim/resultsDetailed.aspx?id=83069&amp;rc=1168&amp;tr=1693" TargetMode="External"/><Relationship Id="rId1690" Type="http://schemas.openxmlformats.org/officeDocument/2006/relationships/hyperlink" Target="http://www.land.gov.il/TozaotMichrazim/resultsDetailed.aspx?id=83835&amp;rc=198&amp;tr=674" TargetMode="External"/><Relationship Id="rId1788" Type="http://schemas.openxmlformats.org/officeDocument/2006/relationships/hyperlink" Target="http://www.land.gov.il/TozaotMichrazim/resultsDetailed.aspx?id=81371&amp;rc=304&amp;tr=674" TargetMode="External"/><Relationship Id="rId1995" Type="http://schemas.openxmlformats.org/officeDocument/2006/relationships/hyperlink" Target="http://www.land.gov.il/TozaotMichrazim/resultsDetailed.aspx?id=86030&amp;rc=16&amp;tr=440" TargetMode="External"/><Relationship Id="rId2534" Type="http://schemas.openxmlformats.org/officeDocument/2006/relationships/hyperlink" Target="http://www.land.gov.il/TozaotMichrazim/resultsDetailed.aspx?id=55080&amp;rc=86&amp;tr=87" TargetMode="External"/><Relationship Id="rId2741" Type="http://schemas.openxmlformats.org/officeDocument/2006/relationships/control" Target="../activeX/activeX202.xml"/><Relationship Id="rId713" Type="http://schemas.openxmlformats.org/officeDocument/2006/relationships/hyperlink" Target="http://www.land.gov.il/TozaotMichrazim/resultsDetailed.aspx?id=85505&amp;rc=650&amp;tr=1693" TargetMode="External"/><Relationship Id="rId920" Type="http://schemas.openxmlformats.org/officeDocument/2006/relationships/hyperlink" Target="http://www.land.gov.il/TozaotMichrazim/resultsDetailed.aspx?id=82811&amp;rc=910&amp;tr=1693" TargetMode="External"/><Relationship Id="rId1343" Type="http://schemas.openxmlformats.org/officeDocument/2006/relationships/hyperlink" Target="http://www.land.gov.il/TozaotMichrazim/resultsDetailed.aspx?id=76244&amp;rc=1396&amp;tr=1693" TargetMode="External"/><Relationship Id="rId1550" Type="http://schemas.openxmlformats.org/officeDocument/2006/relationships/hyperlink" Target="http://www.land.gov.il/TozaotMichrazim/resultsDetailed.aspx?id=86446&amp;rc=37&amp;tr=674" TargetMode="External"/><Relationship Id="rId1648" Type="http://schemas.openxmlformats.org/officeDocument/2006/relationships/hyperlink" Target="http://www.land.gov.il/TozaotMichrazim/resultsDetailed.aspx?id=86544&amp;rc=135&amp;tr=674" TargetMode="External"/><Relationship Id="rId2601" Type="http://schemas.openxmlformats.org/officeDocument/2006/relationships/control" Target="../activeX/activeX62.xml"/><Relationship Id="rId1203" Type="http://schemas.openxmlformats.org/officeDocument/2006/relationships/hyperlink" Target="http://www.land.gov.il/TozaotMichrazim/resultsDetailed.aspx?id=83144&amp;rc=1243&amp;tr=1693" TargetMode="External"/><Relationship Id="rId1410" Type="http://schemas.openxmlformats.org/officeDocument/2006/relationships/hyperlink" Target="http://www.land.gov.il/TozaotMichrazim/resultsDetailed.aspx?id=86699&amp;rc=3&amp;tr=43" TargetMode="External"/><Relationship Id="rId1508" Type="http://schemas.openxmlformats.org/officeDocument/2006/relationships/hyperlink" Target="http://www.land.gov.il/TozaotMichrazim/resultsDetailed.aspx?id=79028&amp;rc=104&amp;tr=421" TargetMode="External"/><Relationship Id="rId1855" Type="http://schemas.openxmlformats.org/officeDocument/2006/relationships/hyperlink" Target="http://www.land.gov.il/TozaotMichrazim/resultsDetailed.aspx?id=79935&amp;rc=371&amp;tr=674" TargetMode="External"/><Relationship Id="rId1715" Type="http://schemas.openxmlformats.org/officeDocument/2006/relationships/hyperlink" Target="http://www.land.gov.il/TozaotMichrazim/resultsDetailed.aspx?id=81294&amp;rc=227&amp;tr=674" TargetMode="External"/><Relationship Id="rId1922" Type="http://schemas.openxmlformats.org/officeDocument/2006/relationships/hyperlink" Target="http://www.land.gov.il/TozaotMichrazim/resultsDetailed.aspx?id=76949&amp;rc=451&amp;tr=674" TargetMode="External"/><Relationship Id="rId296" Type="http://schemas.openxmlformats.org/officeDocument/2006/relationships/hyperlink" Target="http://www.land.gov.il/TozaotMichrazim/resultsDetailed.aspx?id=85022&amp;rc=167&amp;tr=1693" TargetMode="External"/><Relationship Id="rId2184" Type="http://schemas.openxmlformats.org/officeDocument/2006/relationships/hyperlink" Target="http://www.land.gov.il/PirsumMichrazim/Aspx/pirsumDetails.aspx?id=2032016%E1%F9&amp;rc=4&amp;tr=196" TargetMode="External"/><Relationship Id="rId2391" Type="http://schemas.openxmlformats.org/officeDocument/2006/relationships/hyperlink" Target="http://www.land.gov.il/TozaotMichrazim/resultsDetailed.aspx?id=87296&amp;rc=342&amp;tr=424" TargetMode="External"/><Relationship Id="rId156" Type="http://schemas.openxmlformats.org/officeDocument/2006/relationships/hyperlink" Target="http://www.land.gov.il/TozaotMichrazim/resultsDetailed.aspx?id=76571&amp;rc=158&amp;tr=685" TargetMode="External"/><Relationship Id="rId363" Type="http://schemas.openxmlformats.org/officeDocument/2006/relationships/hyperlink" Target="http://www.land.gov.il/TozaotMichrazim/resultsDetailed.aspx?id=85089&amp;rc=234&amp;tr=1693" TargetMode="External"/><Relationship Id="rId570" Type="http://schemas.openxmlformats.org/officeDocument/2006/relationships/hyperlink" Target="http://www.land.gov.il/TozaotMichrazim/resultsDetailed.aspx?id=85327&amp;rc=472&amp;tr=1693" TargetMode="External"/><Relationship Id="rId2044" Type="http://schemas.openxmlformats.org/officeDocument/2006/relationships/hyperlink" Target="http://www.land.gov.il/TozaotMichrazim/resultsDetailed.aspx?id=77210&amp;rc=70&amp;tr=440" TargetMode="External"/><Relationship Id="rId2251" Type="http://schemas.openxmlformats.org/officeDocument/2006/relationships/hyperlink" Target="http://www.land.gov.il/TozaotMichrazim/resultsDetailed.aspx?id=87755&amp;rc=196&amp;tr=424" TargetMode="External"/><Relationship Id="rId2489" Type="http://schemas.openxmlformats.org/officeDocument/2006/relationships/hyperlink" Target="http://www.land.gov.il/TozaotMichrazim/resultsDetailed.aspx?id=74588&amp;rc=41&amp;tr=87" TargetMode="External"/><Relationship Id="rId2696" Type="http://schemas.openxmlformats.org/officeDocument/2006/relationships/control" Target="../activeX/activeX157.xml"/><Relationship Id="rId223" Type="http://schemas.openxmlformats.org/officeDocument/2006/relationships/hyperlink" Target="http://www.land.gov.il/TozaotMichrazim/resultsDetailed.aspx?id=84944&amp;rc=89&amp;tr=1693" TargetMode="External"/><Relationship Id="rId430" Type="http://schemas.openxmlformats.org/officeDocument/2006/relationships/hyperlink" Target="http://www.land.gov.il/TozaotMichrazim/resultsDetailed.aspx?id=85166&amp;rc=311&amp;tr=1693" TargetMode="External"/><Relationship Id="rId668" Type="http://schemas.openxmlformats.org/officeDocument/2006/relationships/hyperlink" Target="http://www.land.gov.il/TozaotMichrazim/resultsDetailed.aspx?id=85454&amp;rc=599&amp;tr=1693" TargetMode="External"/><Relationship Id="rId875" Type="http://schemas.openxmlformats.org/officeDocument/2006/relationships/hyperlink" Target="http://www.land.gov.il/TozaotMichrazim/resultsDetailed.aspx?id=82763&amp;rc=862&amp;tr=1693" TargetMode="External"/><Relationship Id="rId1060" Type="http://schemas.openxmlformats.org/officeDocument/2006/relationships/hyperlink" Target="http://www.land.gov.il/TozaotMichrazim/resultsDetailed.aspx?id=82980&amp;rc=1079&amp;tr=1693" TargetMode="External"/><Relationship Id="rId1298" Type="http://schemas.openxmlformats.org/officeDocument/2006/relationships/hyperlink" Target="http://www.land.gov.il/TozaotMichrazim/resultsDetailed.aspx?id=78774&amp;rc=1351&amp;tr=1693" TargetMode="External"/><Relationship Id="rId2111" Type="http://schemas.openxmlformats.org/officeDocument/2006/relationships/hyperlink" Target="http://www.land.gov.il/IturTabot2/taba1.aspx?MisTochnit=%u05E2%u05E4/%u05DE%u05E7/2/20010&amp;Ishuv=7700" TargetMode="External"/><Relationship Id="rId2349" Type="http://schemas.openxmlformats.org/officeDocument/2006/relationships/hyperlink" Target="http://www.land.gov.il/TozaotMichrazim/resultsDetailed.aspx?id=87718&amp;rc=296&amp;tr=424" TargetMode="External"/><Relationship Id="rId2556" Type="http://schemas.openxmlformats.org/officeDocument/2006/relationships/control" Target="../activeX/activeX17.xml"/><Relationship Id="rId2763" Type="http://schemas.openxmlformats.org/officeDocument/2006/relationships/control" Target="../activeX/activeX224.xml"/><Relationship Id="rId528" Type="http://schemas.openxmlformats.org/officeDocument/2006/relationships/hyperlink" Target="http://www.land.gov.il/TozaotMichrazim/resultsDetailed.aspx?id=85280&amp;rc=425&amp;tr=1693" TargetMode="External"/><Relationship Id="rId735" Type="http://schemas.openxmlformats.org/officeDocument/2006/relationships/hyperlink" Target="http://www.land.gov.il/TozaotMichrazim/resultsDetailed.aspx?id=85540&amp;rc=685&amp;tr=1693" TargetMode="External"/><Relationship Id="rId942" Type="http://schemas.openxmlformats.org/officeDocument/2006/relationships/hyperlink" Target="http://www.land.gov.il/TozaotMichrazim/resultsDetailed.aspx?id=82835&amp;rc=934&amp;tr=1693" TargetMode="External"/><Relationship Id="rId1158" Type="http://schemas.openxmlformats.org/officeDocument/2006/relationships/hyperlink" Target="http://www.land.gov.il/TozaotMichrazim/resultsDetailed.aspx?id=83094&amp;rc=1193&amp;tr=1693" TargetMode="External"/><Relationship Id="rId1365" Type="http://schemas.openxmlformats.org/officeDocument/2006/relationships/hyperlink" Target="http://www.land.gov.il/TozaotMichrazim/resultsDetailed.aspx?id=76266&amp;rc=1418&amp;tr=1693" TargetMode="External"/><Relationship Id="rId1572" Type="http://schemas.openxmlformats.org/officeDocument/2006/relationships/hyperlink" Target="http://www.land.gov.il/TozaotMichrazim/resultsDetailed.aspx?id=86468&amp;rc=59&amp;tr=674" TargetMode="External"/><Relationship Id="rId2209" Type="http://schemas.openxmlformats.org/officeDocument/2006/relationships/hyperlink" Target="http://land.gov.il/TozaotMichrazim/Results.aspx?NewSearch=true&amp;ynmichraz=2015&amp;anMichraz=%e7%e9&amp;Nnmichraz=274" TargetMode="External"/><Relationship Id="rId2416" Type="http://schemas.openxmlformats.org/officeDocument/2006/relationships/hyperlink" Target="http://www.land.gov.il/TozaotMichrazim/resultsDetailed.aspx?id=87340&amp;rc=384&amp;tr=424" TargetMode="External"/><Relationship Id="rId2623" Type="http://schemas.openxmlformats.org/officeDocument/2006/relationships/control" Target="../activeX/activeX84.xml"/><Relationship Id="rId1018" Type="http://schemas.openxmlformats.org/officeDocument/2006/relationships/hyperlink" Target="http://www.land.gov.il/TozaotMichrazim/resultsDetailed.aspx?id=82929&amp;rc=1028&amp;tr=1693" TargetMode="External"/><Relationship Id="rId1225" Type="http://schemas.openxmlformats.org/officeDocument/2006/relationships/hyperlink" Target="http://www.land.gov.il/TozaotMichrazim/resultsDetailed.aspx?id=83177&amp;rc=1276&amp;tr=1693" TargetMode="External"/><Relationship Id="rId1432" Type="http://schemas.openxmlformats.org/officeDocument/2006/relationships/hyperlink" Target="http://www.land.gov.il/TozaotMichrazim/resultsDetailed.aspx?id=87245&amp;rc=19&amp;tr=421" TargetMode="External"/><Relationship Id="rId1877" Type="http://schemas.openxmlformats.org/officeDocument/2006/relationships/hyperlink" Target="http://www.land.gov.il/TozaotMichrazim/resultsDetailed.aspx?id=79957&amp;rc=393&amp;tr=674" TargetMode="External"/><Relationship Id="rId71" Type="http://schemas.openxmlformats.org/officeDocument/2006/relationships/hyperlink" Target="http://www.land.gov.il/TozaotMichrazim/resultsDetailed.aspx?id=84654&amp;rc=65&amp;tr=685" TargetMode="External"/><Relationship Id="rId802" Type="http://schemas.openxmlformats.org/officeDocument/2006/relationships/hyperlink" Target="http://www.land.gov.il/TozaotMichrazim/resultsDetailed.aspx?id=82676&amp;rc=775&amp;tr=1693" TargetMode="External"/><Relationship Id="rId1737" Type="http://schemas.openxmlformats.org/officeDocument/2006/relationships/hyperlink" Target="http://www.land.gov.il/TozaotMichrazim/resultsDetailed.aspx?id=81317&amp;rc=250&amp;tr=674" TargetMode="External"/><Relationship Id="rId1944" Type="http://schemas.openxmlformats.org/officeDocument/2006/relationships/hyperlink" Target="http://www.land.gov.il/TozaotMichrazim/resultsDetailed.aspx?id=76978&amp;rc=480&amp;tr=674" TargetMode="External"/><Relationship Id="rId29" Type="http://schemas.openxmlformats.org/officeDocument/2006/relationships/hyperlink" Target="http://www.land.gov.il/TozaotMichrazim/resultsDetailed.aspx?id=84612&amp;rc=23&amp;tr=685" TargetMode="External"/><Relationship Id="rId178" Type="http://schemas.openxmlformats.org/officeDocument/2006/relationships/hyperlink" Target="http://www.land.gov.il/TozaotMichrazim/resultsDetailed.aspx?id=84898&amp;rc=43&amp;tr=1693" TargetMode="External"/><Relationship Id="rId1804" Type="http://schemas.openxmlformats.org/officeDocument/2006/relationships/hyperlink" Target="http://www.land.gov.il/TozaotMichrazim/resultsDetailed.aspx?id=81387&amp;rc=320&amp;tr=674" TargetMode="External"/><Relationship Id="rId385" Type="http://schemas.openxmlformats.org/officeDocument/2006/relationships/hyperlink" Target="http://www.land.gov.il/TozaotMichrazim/resultsDetailed.aspx?id=85111&amp;rc=256&amp;tr=1693" TargetMode="External"/><Relationship Id="rId592" Type="http://schemas.openxmlformats.org/officeDocument/2006/relationships/hyperlink" Target="http://www.land.gov.il/TozaotMichrazim/resultsDetailed.aspx?id=85355&amp;rc=500&amp;tr=1693" TargetMode="External"/><Relationship Id="rId2066" Type="http://schemas.openxmlformats.org/officeDocument/2006/relationships/hyperlink" Target="http://www.land.gov.il/TozaotMichrazim/resultsDetailed.aspx?id=87047&amp;rc=7&amp;tr=115" TargetMode="External"/><Relationship Id="rId2273" Type="http://schemas.openxmlformats.org/officeDocument/2006/relationships/hyperlink" Target="http://www.land.gov.il/TozaotMichrazim/resultsDetailed.aspx?id=87780&amp;rc=219&amp;tr=424" TargetMode="External"/><Relationship Id="rId2480" Type="http://schemas.openxmlformats.org/officeDocument/2006/relationships/hyperlink" Target="http://www.land.gov.il/TozaotMichrazim/resultsDetailed.aspx?id=81163&amp;rc=32&amp;tr=87" TargetMode="External"/><Relationship Id="rId245" Type="http://schemas.openxmlformats.org/officeDocument/2006/relationships/hyperlink" Target="http://www.land.gov.il/TozaotMichrazim/resultsDetailed.aspx?id=84967&amp;rc=112&amp;tr=1693" TargetMode="External"/><Relationship Id="rId452" Type="http://schemas.openxmlformats.org/officeDocument/2006/relationships/hyperlink" Target="http://www.land.gov.il/TozaotMichrazim/resultsDetailed.aspx?id=85188&amp;rc=333&amp;tr=1693" TargetMode="External"/><Relationship Id="rId897" Type="http://schemas.openxmlformats.org/officeDocument/2006/relationships/hyperlink" Target="http://www.land.gov.il/TozaotMichrazim/resultsDetailed.aspx?id=82786&amp;rc=885&amp;tr=1693" TargetMode="External"/><Relationship Id="rId1082" Type="http://schemas.openxmlformats.org/officeDocument/2006/relationships/hyperlink" Target="http://www.land.gov.il/TozaotMichrazim/resultsDetailed.aspx?id=83010&amp;rc=1109&amp;tr=1693" TargetMode="External"/><Relationship Id="rId2133" Type="http://schemas.openxmlformats.org/officeDocument/2006/relationships/hyperlink" Target="http://www.land.gov.il/IturTabot2/taba2.aspx?tbMerchav=419&amp;tUniqueID=0&amp;sSug=~&amp;tblView=tblView_2cbd28fe9b5a&amp;tbMsTochnit=%25u05dc%25u05d4/3/170" TargetMode="External"/><Relationship Id="rId2340" Type="http://schemas.openxmlformats.org/officeDocument/2006/relationships/hyperlink" Target="http://www.land.gov.il/TozaotMichrazim/resultsDetailed.aspx?id=87709&amp;rc=287&amp;tr=424" TargetMode="External"/><Relationship Id="rId2578" Type="http://schemas.openxmlformats.org/officeDocument/2006/relationships/control" Target="../activeX/activeX39.xml"/><Relationship Id="rId2785" Type="http://schemas.openxmlformats.org/officeDocument/2006/relationships/control" Target="../activeX/activeX246.xml"/><Relationship Id="rId105" Type="http://schemas.openxmlformats.org/officeDocument/2006/relationships/hyperlink" Target="http://www.land.gov.il/TozaotMichrazim/resultsDetailed.aspx?id=84688&amp;rc=99&amp;tr=685" TargetMode="External"/><Relationship Id="rId312" Type="http://schemas.openxmlformats.org/officeDocument/2006/relationships/hyperlink" Target="http://www.land.gov.il/TozaotMichrazim/resultsDetailed.aspx?id=85038&amp;rc=183&amp;tr=1693" TargetMode="External"/><Relationship Id="rId757" Type="http://schemas.openxmlformats.org/officeDocument/2006/relationships/hyperlink" Target="http://www.land.gov.il/TozaotMichrazim/resultsDetailed.aspx?id=85568&amp;rc=713&amp;tr=1693" TargetMode="External"/><Relationship Id="rId964" Type="http://schemas.openxmlformats.org/officeDocument/2006/relationships/hyperlink" Target="http://www.land.gov.il/TozaotMichrazim/resultsDetailed.aspx?id=82860&amp;rc=959&amp;tr=1693" TargetMode="External"/><Relationship Id="rId1387" Type="http://schemas.openxmlformats.org/officeDocument/2006/relationships/hyperlink" Target="http://www.land.gov.il/TozaotMichrazim/resultsDetailed.aspx?id=76148&amp;rc=1441&amp;tr=1693" TargetMode="External"/><Relationship Id="rId1594" Type="http://schemas.openxmlformats.org/officeDocument/2006/relationships/hyperlink" Target="http://www.land.gov.il/TozaotMichrazim/resultsDetailed.aspx?id=86490&amp;rc=81&amp;tr=674" TargetMode="External"/><Relationship Id="rId2200" Type="http://schemas.openxmlformats.org/officeDocument/2006/relationships/hyperlink" Target="http://www.land.gov.il/PirsumMichrazim/Aspx/pirsumDetails.aspx?id=3362015%E9%ED&amp;rc=7&amp;tr=74" TargetMode="External"/><Relationship Id="rId2438" Type="http://schemas.openxmlformats.org/officeDocument/2006/relationships/hyperlink" Target="http://www.land.gov.il/TozaotMichrazim/resultsDetailed.aspx?id=87321&amp;rc=414&amp;tr=424" TargetMode="External"/><Relationship Id="rId2645" Type="http://schemas.openxmlformats.org/officeDocument/2006/relationships/control" Target="../activeX/activeX106.xml"/><Relationship Id="rId93" Type="http://schemas.openxmlformats.org/officeDocument/2006/relationships/hyperlink" Target="http://www.land.gov.il/TozaotMichrazim/resultsDetailed.aspx?id=84676&amp;rc=87&amp;tr=685" TargetMode="External"/><Relationship Id="rId617" Type="http://schemas.openxmlformats.org/officeDocument/2006/relationships/hyperlink" Target="http://www.land.gov.il/TozaotMichrazim/resultsDetailed.aspx?id=85392&amp;rc=537&amp;tr=1693" TargetMode="External"/><Relationship Id="rId824" Type="http://schemas.openxmlformats.org/officeDocument/2006/relationships/hyperlink" Target="http://www.land.gov.il/TozaotMichrazim/resultsDetailed.aspx?id=82706&amp;rc=805&amp;tr=1693" TargetMode="External"/><Relationship Id="rId1247" Type="http://schemas.openxmlformats.org/officeDocument/2006/relationships/hyperlink" Target="http://www.land.gov.il/TozaotMichrazim/resultsDetailed.aspx?id=79320&amp;rc=1300&amp;tr=1693" TargetMode="External"/><Relationship Id="rId1454" Type="http://schemas.openxmlformats.org/officeDocument/2006/relationships/hyperlink" Target="http://www.land.gov.il/TozaotMichrazim/resultsDetailed.aspx?id=86276&amp;rc=43&amp;tr=421" TargetMode="External"/><Relationship Id="rId1661" Type="http://schemas.openxmlformats.org/officeDocument/2006/relationships/hyperlink" Target="http://www.land.gov.il/TozaotMichrazim/resultsDetailed.aspx?id=86250&amp;rc=148&amp;tr=674" TargetMode="External"/><Relationship Id="rId1899" Type="http://schemas.openxmlformats.org/officeDocument/2006/relationships/hyperlink" Target="http://www.land.gov.il/TozaotMichrazim/resultsDetailed.aspx?id=79395&amp;rc=415&amp;tr=674" TargetMode="External"/><Relationship Id="rId2505" Type="http://schemas.openxmlformats.org/officeDocument/2006/relationships/hyperlink" Target="http://www.land.gov.il/TozaotMichrazim/resultsDetailed.aspx?id=70340&amp;rc=57&amp;tr=87" TargetMode="External"/><Relationship Id="rId2712" Type="http://schemas.openxmlformats.org/officeDocument/2006/relationships/control" Target="../activeX/activeX173.xml"/><Relationship Id="rId1107" Type="http://schemas.openxmlformats.org/officeDocument/2006/relationships/hyperlink" Target="http://www.land.gov.il/TozaotMichrazim/resultsDetailed.aspx?id=83037&amp;rc=1136&amp;tr=1693" TargetMode="External"/><Relationship Id="rId1314" Type="http://schemas.openxmlformats.org/officeDocument/2006/relationships/hyperlink" Target="http://www.land.gov.il/TozaotMichrazim/resultsDetailed.aspx?id=78032&amp;rc=1367&amp;tr=1693" TargetMode="External"/><Relationship Id="rId1521" Type="http://schemas.openxmlformats.org/officeDocument/2006/relationships/hyperlink" Target="http://www.land.gov.il/TozaotMichrazim/resultsDetailed.aspx?id=86417&amp;rc=8&amp;tr=674" TargetMode="External"/><Relationship Id="rId1759" Type="http://schemas.openxmlformats.org/officeDocument/2006/relationships/hyperlink" Target="http://www.land.gov.il/TozaotMichrazim/resultsDetailed.aspx?id=81339&amp;rc=272&amp;tr=674" TargetMode="External"/><Relationship Id="rId1966" Type="http://schemas.openxmlformats.org/officeDocument/2006/relationships/hyperlink" Target="http://www.land.gov.il/TozaotMichrazim/resultsDetailed.aspx?id=77000&amp;rc=502&amp;tr=674" TargetMode="External"/><Relationship Id="rId1619" Type="http://schemas.openxmlformats.org/officeDocument/2006/relationships/hyperlink" Target="http://www.land.gov.il/TozaotMichrazim/resultsDetailed.aspx?id=86515&amp;rc=106&amp;tr=674" TargetMode="External"/><Relationship Id="rId1826" Type="http://schemas.openxmlformats.org/officeDocument/2006/relationships/hyperlink" Target="http://www.land.gov.il/TozaotMichrazim/resultsDetailed.aspx?id=81409&amp;rc=342&amp;tr=674" TargetMode="External"/><Relationship Id="rId20" Type="http://schemas.openxmlformats.org/officeDocument/2006/relationships/hyperlink" Target="http://www.land.gov.il/TozaotMichrazim/resultsDetailed.aspx?id=84603&amp;rc=14&amp;tr=685" TargetMode="External"/><Relationship Id="rId2088" Type="http://schemas.openxmlformats.org/officeDocument/2006/relationships/hyperlink" Target="http://www.land.gov.il/TozaotMichrazim/resultsDetailed.aspx?id=86677&amp;rc=2&amp;tr=100" TargetMode="External"/><Relationship Id="rId2295" Type="http://schemas.openxmlformats.org/officeDocument/2006/relationships/hyperlink" Target="http://www.land.gov.il/TozaotMichrazim/resultsDetailed.aspx?id=87664&amp;rc=242&amp;tr=424" TargetMode="External"/><Relationship Id="rId267" Type="http://schemas.openxmlformats.org/officeDocument/2006/relationships/hyperlink" Target="http://www.land.gov.il/TozaotMichrazim/resultsDetailed.aspx?id=84993&amp;rc=138&amp;tr=1693" TargetMode="External"/><Relationship Id="rId474" Type="http://schemas.openxmlformats.org/officeDocument/2006/relationships/hyperlink" Target="http://www.land.gov.il/TozaotMichrazim/resultsDetailed.aspx?id=85210&amp;rc=355&amp;tr=1693" TargetMode="External"/><Relationship Id="rId2155" Type="http://schemas.openxmlformats.org/officeDocument/2006/relationships/hyperlink" Target="http://www.land.gov.il/PirsumMichrazim/Aspx/pirsumDetails.aspx?id=%20112017%E9%ED&amp;rc=2&amp;tr=4" TargetMode="External"/><Relationship Id="rId127" Type="http://schemas.openxmlformats.org/officeDocument/2006/relationships/hyperlink" Target="http://www.land.gov.il/TozaotMichrazim/resultsDetailed.aspx?id=80644&amp;rc=123&amp;tr=685" TargetMode="External"/><Relationship Id="rId681" Type="http://schemas.openxmlformats.org/officeDocument/2006/relationships/hyperlink" Target="http://www.land.gov.il/TozaotMichrazim/resultsDetailed.aspx?id=85467&amp;rc=612&amp;tr=1693" TargetMode="External"/><Relationship Id="rId779" Type="http://schemas.openxmlformats.org/officeDocument/2006/relationships/hyperlink" Target="http://www.land.gov.il/TozaotMichrazim/resultsDetailed.aspx?id=82642&amp;rc=741&amp;tr=1693" TargetMode="External"/><Relationship Id="rId986" Type="http://schemas.openxmlformats.org/officeDocument/2006/relationships/hyperlink" Target="http://www.land.gov.il/TozaotMichrazim/resultsDetailed.aspx?id=82892&amp;rc=991&amp;tr=1693" TargetMode="External"/><Relationship Id="rId2362" Type="http://schemas.openxmlformats.org/officeDocument/2006/relationships/hyperlink" Target="http://www.land.gov.il/TozaotMichrazim/resultsDetailed.aspx?id=87731&amp;rc=309&amp;tr=424" TargetMode="External"/><Relationship Id="rId2667" Type="http://schemas.openxmlformats.org/officeDocument/2006/relationships/control" Target="../activeX/activeX128.xml"/><Relationship Id="rId334" Type="http://schemas.openxmlformats.org/officeDocument/2006/relationships/hyperlink" Target="http://www.land.gov.il/TozaotMichrazim/resultsDetailed.aspx?id=85060&amp;rc=205&amp;tr=1693" TargetMode="External"/><Relationship Id="rId541" Type="http://schemas.openxmlformats.org/officeDocument/2006/relationships/hyperlink" Target="http://www.land.gov.il/TozaotMichrazim/resultsDetailed.aspx?id=85295&amp;rc=440&amp;tr=1693" TargetMode="External"/><Relationship Id="rId639" Type="http://schemas.openxmlformats.org/officeDocument/2006/relationships/hyperlink" Target="http://www.land.gov.il/TozaotMichrazim/resultsDetailed.aspx?id=85418&amp;rc=563&amp;tr=1693" TargetMode="External"/><Relationship Id="rId1171" Type="http://schemas.openxmlformats.org/officeDocument/2006/relationships/hyperlink" Target="http://www.land.gov.il/TozaotMichrazim/resultsDetailed.aspx?id=83110&amp;rc=1209&amp;tr=1693" TargetMode="External"/><Relationship Id="rId1269" Type="http://schemas.openxmlformats.org/officeDocument/2006/relationships/hyperlink" Target="http://www.land.gov.il/TozaotMichrazim/resultsDetailed.aspx?id=79342&amp;rc=1322&amp;tr=1693" TargetMode="External"/><Relationship Id="rId1476" Type="http://schemas.openxmlformats.org/officeDocument/2006/relationships/hyperlink" Target="http://www.land.gov.il/TozaotMichrazim/resultsDetailed.aspx?id=80862&amp;rc=67&amp;tr=421" TargetMode="External"/><Relationship Id="rId2015" Type="http://schemas.openxmlformats.org/officeDocument/2006/relationships/hyperlink" Target="http://www.land.gov.il/TozaotMichrazim/resultsDetailed.aspx?id=81177&amp;rc=41&amp;tr=440" TargetMode="External"/><Relationship Id="rId2222" Type="http://schemas.openxmlformats.org/officeDocument/2006/relationships/hyperlink" Target="http://land.gov.il/TozaotMichrazim/Results.aspx?NewSearch=true&amp;ynmichraz=2015&amp;anMichraz=%e7%e9&amp;Nnmichraz=269" TargetMode="External"/><Relationship Id="rId401" Type="http://schemas.openxmlformats.org/officeDocument/2006/relationships/hyperlink" Target="http://www.land.gov.il/TozaotMichrazim/resultsDetailed.aspx?id=85133&amp;rc=278&amp;tr=1693" TargetMode="External"/><Relationship Id="rId846" Type="http://schemas.openxmlformats.org/officeDocument/2006/relationships/hyperlink" Target="http://www.land.gov.il/TozaotMichrazim/resultsDetailed.aspx?id=82733&amp;rc=832&amp;tr=1693" TargetMode="External"/><Relationship Id="rId1031" Type="http://schemas.openxmlformats.org/officeDocument/2006/relationships/hyperlink" Target="http://www.land.gov.il/TozaotMichrazim/resultsDetailed.aspx?id=82943&amp;rc=1042&amp;tr=1693" TargetMode="External"/><Relationship Id="rId1129" Type="http://schemas.openxmlformats.org/officeDocument/2006/relationships/hyperlink" Target="http://www.land.gov.il/TozaotMichrazim/resultsDetailed.aspx?id=83060&amp;rc=1159&amp;tr=1693" TargetMode="External"/><Relationship Id="rId1683" Type="http://schemas.openxmlformats.org/officeDocument/2006/relationships/hyperlink" Target="http://www.land.gov.il/TozaotMichrazim/resultsDetailed.aspx?id=83828&amp;rc=191&amp;tr=674" TargetMode="External"/><Relationship Id="rId1890" Type="http://schemas.openxmlformats.org/officeDocument/2006/relationships/hyperlink" Target="http://www.land.gov.il/TozaotMichrazim/resultsDetailed.aspx?id=79386&amp;rc=406&amp;tr=674" TargetMode="External"/><Relationship Id="rId1988" Type="http://schemas.openxmlformats.org/officeDocument/2006/relationships/hyperlink" Target="http://www.land.gov.il/TozaotMichrazim/resultsDetailed.aspx?id=86729&amp;rc=9&amp;tr=440" TargetMode="External"/><Relationship Id="rId2527" Type="http://schemas.openxmlformats.org/officeDocument/2006/relationships/hyperlink" Target="http://www.land.gov.il/TozaotMichrazim/resultsDetailed.aspx?id=64690&amp;rc=79&amp;tr=87" TargetMode="External"/><Relationship Id="rId2734" Type="http://schemas.openxmlformats.org/officeDocument/2006/relationships/control" Target="../activeX/activeX195.xml"/><Relationship Id="rId706" Type="http://schemas.openxmlformats.org/officeDocument/2006/relationships/hyperlink" Target="http://www.land.gov.il/TozaotMichrazim/resultsDetailed.aspx?id=85495&amp;rc=640&amp;tr=1693" TargetMode="External"/><Relationship Id="rId913" Type="http://schemas.openxmlformats.org/officeDocument/2006/relationships/hyperlink" Target="http://www.land.gov.il/TozaotMichrazim/resultsDetailed.aspx?id=82803&amp;rc=902&amp;tr=1693" TargetMode="External"/><Relationship Id="rId1336" Type="http://schemas.openxmlformats.org/officeDocument/2006/relationships/hyperlink" Target="http://www.land.gov.il/TozaotMichrazim/resultsDetailed.aspx?id=76237&amp;rc=1389&amp;tr=1693" TargetMode="External"/><Relationship Id="rId1543" Type="http://schemas.openxmlformats.org/officeDocument/2006/relationships/hyperlink" Target="http://www.land.gov.il/TozaotMichrazim/resultsDetailed.aspx?id=86439&amp;rc=30&amp;tr=674" TargetMode="External"/><Relationship Id="rId1750" Type="http://schemas.openxmlformats.org/officeDocument/2006/relationships/hyperlink" Target="http://www.land.gov.il/TozaotMichrazim/resultsDetailed.aspx?id=81330&amp;rc=263&amp;tr=674" TargetMode="External"/><Relationship Id="rId2801" Type="http://schemas.openxmlformats.org/officeDocument/2006/relationships/control" Target="../activeX/activeX262.xml"/><Relationship Id="rId42" Type="http://schemas.openxmlformats.org/officeDocument/2006/relationships/hyperlink" Target="http://www.land.gov.il/TozaotMichrazim/resultsDetailed.aspx?id=84625&amp;rc=36&amp;tr=685" TargetMode="External"/><Relationship Id="rId1403" Type="http://schemas.openxmlformats.org/officeDocument/2006/relationships/hyperlink" Target="http://www.land.gov.il/TozaotMichrazim/resultsDetailed.aspx?id=81496&amp;rc=21&amp;tr=79" TargetMode="External"/><Relationship Id="rId1610" Type="http://schemas.openxmlformats.org/officeDocument/2006/relationships/hyperlink" Target="http://www.land.gov.il/TozaotMichrazim/resultsDetailed.aspx?id=86506&amp;rc=97&amp;tr=674" TargetMode="External"/><Relationship Id="rId1848" Type="http://schemas.openxmlformats.org/officeDocument/2006/relationships/hyperlink" Target="http://www.land.gov.il/TozaotMichrazim/resultsDetailed.aspx?id=79928&amp;rc=364&amp;tr=674" TargetMode="External"/><Relationship Id="rId191" Type="http://schemas.openxmlformats.org/officeDocument/2006/relationships/hyperlink" Target="http://www.land.gov.il/TozaotMichrazim/resultsDetailed.aspx?id=84912&amp;rc=57&amp;tr=1693" TargetMode="External"/><Relationship Id="rId1708" Type="http://schemas.openxmlformats.org/officeDocument/2006/relationships/hyperlink" Target="http://www.land.gov.il/TozaotMichrazim/resultsDetailed.aspx?id=81285&amp;rc=218&amp;tr=674" TargetMode="External"/><Relationship Id="rId1915" Type="http://schemas.openxmlformats.org/officeDocument/2006/relationships/hyperlink" Target="http://www.land.gov.il/TozaotMichrazim/resultsDetailed.aspx?id=76932&amp;rc=434&amp;tr=674" TargetMode="External"/><Relationship Id="rId289" Type="http://schemas.openxmlformats.org/officeDocument/2006/relationships/hyperlink" Target="http://www.land.gov.il/TozaotMichrazim/resultsDetailed.aspx?id=85015&amp;rc=160&amp;tr=1693" TargetMode="External"/><Relationship Id="rId496" Type="http://schemas.openxmlformats.org/officeDocument/2006/relationships/hyperlink" Target="http://www.land.gov.il/TozaotMichrazim/resultsDetailed.aspx?id=85235&amp;rc=380&amp;tr=1693" TargetMode="External"/><Relationship Id="rId2177" Type="http://schemas.openxmlformats.org/officeDocument/2006/relationships/hyperlink" Target="http://www.land.gov.il/PirsumMichrazim/Aspx/pirsumDetails.aspx?id=2812016%F6%F4&amp;rc=1&amp;tr=1" TargetMode="External"/><Relationship Id="rId2384" Type="http://schemas.openxmlformats.org/officeDocument/2006/relationships/hyperlink" Target="http://www.land.gov.il/TozaotMichrazim/resultsDetailed.aspx?id=87289&amp;rc=335&amp;tr=424" TargetMode="External"/><Relationship Id="rId2591" Type="http://schemas.openxmlformats.org/officeDocument/2006/relationships/control" Target="../activeX/activeX52.xml"/><Relationship Id="rId149" Type="http://schemas.openxmlformats.org/officeDocument/2006/relationships/hyperlink" Target="http://www.land.gov.il/TozaotMichrazim/resultsDetailed.aspx?id=76564&amp;rc=151&amp;tr=685" TargetMode="External"/><Relationship Id="rId356" Type="http://schemas.openxmlformats.org/officeDocument/2006/relationships/hyperlink" Target="http://www.land.gov.il/TozaotMichrazim/resultsDetailed.aspx?id=85082&amp;rc=227&amp;tr=1693" TargetMode="External"/><Relationship Id="rId563" Type="http://schemas.openxmlformats.org/officeDocument/2006/relationships/hyperlink" Target="http://www.land.gov.il/TozaotMichrazim/resultsDetailed.aspx?id=85320&amp;rc=465&amp;tr=1693" TargetMode="External"/><Relationship Id="rId770" Type="http://schemas.openxmlformats.org/officeDocument/2006/relationships/hyperlink" Target="http://www.land.gov.il/TozaotMichrazim/resultsDetailed.aspx?id=82627&amp;rc=726&amp;tr=1693" TargetMode="External"/><Relationship Id="rId1193" Type="http://schemas.openxmlformats.org/officeDocument/2006/relationships/hyperlink" Target="http://www.land.gov.il/TozaotMichrazim/resultsDetailed.aspx?id=83133&amp;rc=1232&amp;tr=1693" TargetMode="External"/><Relationship Id="rId2037" Type="http://schemas.openxmlformats.org/officeDocument/2006/relationships/hyperlink" Target="http://www.land.gov.il/TozaotMichrazim/resultsDetailed.aspx?id=79138&amp;rc=63&amp;tr=440" TargetMode="External"/><Relationship Id="rId2244" Type="http://schemas.openxmlformats.org/officeDocument/2006/relationships/hyperlink" Target="http://www.land.gov.il/TozaotMichrazim/resultsDetailed.aspx?id=87848&amp;rc=28&amp;tr=424" TargetMode="External"/><Relationship Id="rId2451" Type="http://schemas.openxmlformats.org/officeDocument/2006/relationships/hyperlink" Target="http://www.land.gov.il/TozaotMichrazim/resultsDetailed.aspx?id=85575&amp;rc=3&amp;tr=87" TargetMode="External"/><Relationship Id="rId2689" Type="http://schemas.openxmlformats.org/officeDocument/2006/relationships/control" Target="../activeX/activeX150.xml"/><Relationship Id="rId216" Type="http://schemas.openxmlformats.org/officeDocument/2006/relationships/hyperlink" Target="http://www.land.gov.il/TozaotMichrazim/resultsDetailed.aspx?id=84937&amp;rc=82&amp;tr=1693" TargetMode="External"/><Relationship Id="rId423" Type="http://schemas.openxmlformats.org/officeDocument/2006/relationships/hyperlink" Target="http://www.land.gov.il/TozaotMichrazim/resultsDetailed.aspx?id=85159&amp;rc=304&amp;tr=1693" TargetMode="External"/><Relationship Id="rId868" Type="http://schemas.openxmlformats.org/officeDocument/2006/relationships/hyperlink" Target="http://www.land.gov.il/TozaotMichrazim/resultsDetailed.aspx?id=82756&amp;rc=855&amp;tr=1693" TargetMode="External"/><Relationship Id="rId1053" Type="http://schemas.openxmlformats.org/officeDocument/2006/relationships/hyperlink" Target="http://www.land.gov.il/TozaotMichrazim/resultsDetailed.aspx?id=82970&amp;rc=1069&amp;tr=1693" TargetMode="External"/><Relationship Id="rId1260" Type="http://schemas.openxmlformats.org/officeDocument/2006/relationships/hyperlink" Target="http://www.land.gov.il/TozaotMichrazim/resultsDetailed.aspx?id=79333&amp;rc=1313&amp;tr=1693" TargetMode="External"/><Relationship Id="rId1498" Type="http://schemas.openxmlformats.org/officeDocument/2006/relationships/hyperlink" Target="http://www.land.gov.il/TozaotMichrazim/resultsDetailed.aspx?id=80132&amp;rc=94&amp;tr=421" TargetMode="External"/><Relationship Id="rId2104" Type="http://schemas.openxmlformats.org/officeDocument/2006/relationships/hyperlink" Target="http://www.land.gov.il/TozaotMichrazim/resultsDetailed.aspx?id=79160&amp;rc=20&amp;tr=100" TargetMode="External"/><Relationship Id="rId2549" Type="http://schemas.openxmlformats.org/officeDocument/2006/relationships/control" Target="../activeX/activeX10.xml"/><Relationship Id="rId2756" Type="http://schemas.openxmlformats.org/officeDocument/2006/relationships/control" Target="../activeX/activeX217.xml"/><Relationship Id="rId630" Type="http://schemas.openxmlformats.org/officeDocument/2006/relationships/hyperlink" Target="http://www.land.gov.il/TozaotMichrazim/resultsDetailed.aspx?id=85408&amp;rc=553&amp;tr=1693" TargetMode="External"/><Relationship Id="rId728" Type="http://schemas.openxmlformats.org/officeDocument/2006/relationships/hyperlink" Target="http://www.land.gov.il/TozaotMichrazim/resultsDetailed.aspx?id=85521&amp;rc=666&amp;tr=1693" TargetMode="External"/><Relationship Id="rId935" Type="http://schemas.openxmlformats.org/officeDocument/2006/relationships/hyperlink" Target="http://www.land.gov.il/TozaotMichrazim/resultsDetailed.aspx?id=82827&amp;rc=926&amp;tr=1693" TargetMode="External"/><Relationship Id="rId1358" Type="http://schemas.openxmlformats.org/officeDocument/2006/relationships/hyperlink" Target="http://www.land.gov.il/TozaotMichrazim/resultsDetailed.aspx?id=76259&amp;rc=1411&amp;tr=1693" TargetMode="External"/><Relationship Id="rId1565" Type="http://schemas.openxmlformats.org/officeDocument/2006/relationships/hyperlink" Target="http://www.land.gov.il/TozaotMichrazim/resultsDetailed.aspx?id=86461&amp;rc=52&amp;tr=674" TargetMode="External"/><Relationship Id="rId1772" Type="http://schemas.openxmlformats.org/officeDocument/2006/relationships/hyperlink" Target="http://www.land.gov.il/TozaotMichrazim/resultsDetailed.aspx?id=81352&amp;rc=285&amp;tr=674" TargetMode="External"/><Relationship Id="rId2311" Type="http://schemas.openxmlformats.org/officeDocument/2006/relationships/hyperlink" Target="http://www.land.gov.il/TozaotMichrazim/resultsDetailed.aspx?id=87680&amp;rc=258&amp;tr=424" TargetMode="External"/><Relationship Id="rId2409" Type="http://schemas.openxmlformats.org/officeDocument/2006/relationships/hyperlink" Target="http://www.land.gov.il/TozaotMichrazim/resultsDetailed.aspx?id=87333&amp;rc=377&amp;tr=424" TargetMode="External"/><Relationship Id="rId2616" Type="http://schemas.openxmlformats.org/officeDocument/2006/relationships/control" Target="../activeX/activeX77.xml"/><Relationship Id="rId64" Type="http://schemas.openxmlformats.org/officeDocument/2006/relationships/hyperlink" Target="http://www.land.gov.il/TozaotMichrazim/resultsDetailed.aspx?id=84647&amp;rc=58&amp;tr=685" TargetMode="External"/><Relationship Id="rId1120" Type="http://schemas.openxmlformats.org/officeDocument/2006/relationships/hyperlink" Target="http://www.land.gov.il/TozaotMichrazim/resultsDetailed.aspx?id=83051&amp;rc=1150&amp;tr=1693" TargetMode="External"/><Relationship Id="rId1218" Type="http://schemas.openxmlformats.org/officeDocument/2006/relationships/hyperlink" Target="http://www.land.gov.il/TozaotMichrazim/resultsDetailed.aspx?id=83160&amp;rc=1259&amp;tr=1693" TargetMode="External"/><Relationship Id="rId1425" Type="http://schemas.openxmlformats.org/officeDocument/2006/relationships/hyperlink" Target="http://www.land.gov.il/TozaotMichrazim/resultsDetailed.aspx?id=87238&amp;rc=12&amp;tr=421" TargetMode="External"/><Relationship Id="rId1632" Type="http://schemas.openxmlformats.org/officeDocument/2006/relationships/hyperlink" Target="http://www.land.gov.il/TozaotMichrazim/resultsDetailed.aspx?id=86528&amp;rc=119&amp;tr=674" TargetMode="External"/><Relationship Id="rId1937" Type="http://schemas.openxmlformats.org/officeDocument/2006/relationships/hyperlink" Target="http://www.land.gov.il/TozaotMichrazim/resultsDetailed.aspx?id=76970&amp;rc=472&amp;tr=674" TargetMode="External"/><Relationship Id="rId2199" Type="http://schemas.openxmlformats.org/officeDocument/2006/relationships/hyperlink" Target="http://www.land.gov.il/PirsumMichrazim/Aspx/pirsumDetails.aspx?id=3132015%E9%ED&amp;rc=5&amp;tr=74" TargetMode="External"/><Relationship Id="rId280" Type="http://schemas.openxmlformats.org/officeDocument/2006/relationships/hyperlink" Target="http://www.land.gov.il/TozaotMichrazim/resultsDetailed.aspx?id=85006&amp;rc=151&amp;tr=1693" TargetMode="External"/><Relationship Id="rId140" Type="http://schemas.openxmlformats.org/officeDocument/2006/relationships/hyperlink" Target="http://www.land.gov.il/TozaotMichrazim/resultsDetailed.aspx?id=76748&amp;rc=140&amp;tr=685" TargetMode="External"/><Relationship Id="rId378" Type="http://schemas.openxmlformats.org/officeDocument/2006/relationships/hyperlink" Target="http://www.land.gov.il/TozaotMichrazim/resultsDetailed.aspx?id=85104&amp;rc=249&amp;tr=1693" TargetMode="External"/><Relationship Id="rId585" Type="http://schemas.openxmlformats.org/officeDocument/2006/relationships/hyperlink" Target="http://www.land.gov.il/TozaotMichrazim/resultsDetailed.aspx?id=85344&amp;rc=489&amp;tr=1693" TargetMode="External"/><Relationship Id="rId792" Type="http://schemas.openxmlformats.org/officeDocument/2006/relationships/hyperlink" Target="http://www.land.gov.il/TozaotMichrazim/resultsDetailed.aspx?id=82659&amp;rc=758&amp;tr=1693" TargetMode="External"/><Relationship Id="rId2059" Type="http://schemas.openxmlformats.org/officeDocument/2006/relationships/hyperlink" Target="http://www.land.gov.il/TozaotMichrazim/resultsDetailed.aspx?id=86831&amp;rc=2&amp;tr=109" TargetMode="External"/><Relationship Id="rId2266" Type="http://schemas.openxmlformats.org/officeDocument/2006/relationships/hyperlink" Target="http://www.land.gov.il/TozaotMichrazim/resultsDetailed.aspx?id=87771&amp;rc=211&amp;tr=424" TargetMode="External"/><Relationship Id="rId2473" Type="http://schemas.openxmlformats.org/officeDocument/2006/relationships/hyperlink" Target="http://www.land.gov.il/TozaotMichrazim/resultsDetailed.aspx?id=84840&amp;rc=25&amp;tr=87" TargetMode="External"/><Relationship Id="rId2680" Type="http://schemas.openxmlformats.org/officeDocument/2006/relationships/control" Target="../activeX/activeX141.xml"/><Relationship Id="rId6" Type="http://schemas.openxmlformats.org/officeDocument/2006/relationships/hyperlink" Target="http://www.maltar.org.il/urbaneconomics/pages/heskem_gag.aspx" TargetMode="External"/><Relationship Id="rId238" Type="http://schemas.openxmlformats.org/officeDocument/2006/relationships/hyperlink" Target="http://www.land.gov.il/TozaotMichrazim/resultsDetailed.aspx?id=84960&amp;rc=105&amp;tr=1693" TargetMode="External"/><Relationship Id="rId445" Type="http://schemas.openxmlformats.org/officeDocument/2006/relationships/hyperlink" Target="http://www.land.gov.il/TozaotMichrazim/resultsDetailed.aspx?id=85181&amp;rc=326&amp;tr=1693" TargetMode="External"/><Relationship Id="rId652" Type="http://schemas.openxmlformats.org/officeDocument/2006/relationships/hyperlink" Target="http://www.land.gov.il/TozaotMichrazim/resultsDetailed.aspx?id=85434&amp;rc=579&amp;tr=1693" TargetMode="External"/><Relationship Id="rId1075" Type="http://schemas.openxmlformats.org/officeDocument/2006/relationships/hyperlink" Target="http://www.land.gov.il/TozaotMichrazim/resultsDetailed.aspx?id=83000&amp;rc=1099&amp;tr=1693" TargetMode="External"/><Relationship Id="rId1282" Type="http://schemas.openxmlformats.org/officeDocument/2006/relationships/hyperlink" Target="http://www.land.gov.il/TozaotMichrazim/resultsDetailed.aspx?id=79355&amp;rc=1335&amp;tr=1693" TargetMode="External"/><Relationship Id="rId2126" Type="http://schemas.openxmlformats.org/officeDocument/2006/relationships/hyperlink" Target="http://www.land.gov.il/IturTabot2/taba1.aspx?MisTochnit=504-0251637&amp;Ishuv=6400" TargetMode="External"/><Relationship Id="rId2333" Type="http://schemas.openxmlformats.org/officeDocument/2006/relationships/hyperlink" Target="http://www.land.gov.il/TozaotMichrazim/resultsDetailed.aspx?id=87702&amp;rc=280&amp;tr=424" TargetMode="External"/><Relationship Id="rId2540" Type="http://schemas.openxmlformats.org/officeDocument/2006/relationships/image" Target="../media/image2.emf"/><Relationship Id="rId2778" Type="http://schemas.openxmlformats.org/officeDocument/2006/relationships/control" Target="../activeX/activeX239.xml"/><Relationship Id="rId305" Type="http://schemas.openxmlformats.org/officeDocument/2006/relationships/hyperlink" Target="http://www.land.gov.il/TozaotMichrazim/resultsDetailed.aspx?id=85031&amp;rc=176&amp;tr=1693" TargetMode="External"/><Relationship Id="rId512" Type="http://schemas.openxmlformats.org/officeDocument/2006/relationships/hyperlink" Target="http://www.land.gov.il/TozaotMichrazim/resultsDetailed.aspx?id=85261&amp;rc=406&amp;tr=1693" TargetMode="External"/><Relationship Id="rId957" Type="http://schemas.openxmlformats.org/officeDocument/2006/relationships/hyperlink" Target="http://www.land.gov.il/TozaotMichrazim/resultsDetailed.aspx?id=82853&amp;rc=952&amp;tr=1693" TargetMode="External"/><Relationship Id="rId1142" Type="http://schemas.openxmlformats.org/officeDocument/2006/relationships/hyperlink" Target="http://www.land.gov.il/TozaotMichrazim/resultsDetailed.aspx?id=83075&amp;rc=1174&amp;tr=1693" TargetMode="External"/><Relationship Id="rId1587" Type="http://schemas.openxmlformats.org/officeDocument/2006/relationships/hyperlink" Target="http://www.land.gov.il/TozaotMichrazim/resultsDetailed.aspx?id=86483&amp;rc=74&amp;tr=674" TargetMode="External"/><Relationship Id="rId1794" Type="http://schemas.openxmlformats.org/officeDocument/2006/relationships/hyperlink" Target="http://www.land.gov.il/TozaotMichrazim/resultsDetailed.aspx?id=81377&amp;rc=310&amp;tr=674" TargetMode="External"/><Relationship Id="rId2400" Type="http://schemas.openxmlformats.org/officeDocument/2006/relationships/hyperlink" Target="http://www.land.gov.il/TozaotMichrazim/resultsDetailed.aspx?id=87305&amp;rc=351&amp;tr=424" TargetMode="External"/><Relationship Id="rId2638" Type="http://schemas.openxmlformats.org/officeDocument/2006/relationships/control" Target="../activeX/activeX99.xml"/><Relationship Id="rId86" Type="http://schemas.openxmlformats.org/officeDocument/2006/relationships/hyperlink" Target="http://www.land.gov.il/TozaotMichrazim/resultsDetailed.aspx?id=84669&amp;rc=80&amp;tr=685" TargetMode="External"/><Relationship Id="rId817" Type="http://schemas.openxmlformats.org/officeDocument/2006/relationships/hyperlink" Target="http://www.land.gov.il/TozaotMichrazim/resultsDetailed.aspx?id=82695&amp;rc=794&amp;tr=1693" TargetMode="External"/><Relationship Id="rId1002" Type="http://schemas.openxmlformats.org/officeDocument/2006/relationships/hyperlink" Target="http://www.land.gov.il/TozaotMichrazim/resultsDetailed.aspx?id=82911&amp;rc=1010&amp;tr=1693" TargetMode="External"/><Relationship Id="rId1447" Type="http://schemas.openxmlformats.org/officeDocument/2006/relationships/hyperlink" Target="http://www.land.gov.il/TozaotMichrazim/resultsDetailed.aspx?id=86268&amp;rc=36&amp;tr=421" TargetMode="External"/><Relationship Id="rId1654" Type="http://schemas.openxmlformats.org/officeDocument/2006/relationships/hyperlink" Target="http://www.land.gov.il/TozaotMichrazim/resultsDetailed.aspx?id=86550&amp;rc=141&amp;tr=674" TargetMode="External"/><Relationship Id="rId1861" Type="http://schemas.openxmlformats.org/officeDocument/2006/relationships/hyperlink" Target="http://www.land.gov.il/TozaotMichrazim/resultsDetailed.aspx?id=79941&amp;rc=377&amp;tr=674" TargetMode="External"/><Relationship Id="rId2705" Type="http://schemas.openxmlformats.org/officeDocument/2006/relationships/control" Target="../activeX/activeX166.xml"/><Relationship Id="rId1307" Type="http://schemas.openxmlformats.org/officeDocument/2006/relationships/hyperlink" Target="http://www.land.gov.il/TozaotMichrazim/resultsDetailed.aspx?id=78783&amp;rc=1360&amp;tr=1693" TargetMode="External"/><Relationship Id="rId1514" Type="http://schemas.openxmlformats.org/officeDocument/2006/relationships/hyperlink" Target="http://www.land.gov.il/TozaotMichrazim/resultsDetailed.aspx?id=86281&amp;rc=5&amp;tr=679" TargetMode="External"/><Relationship Id="rId1721" Type="http://schemas.openxmlformats.org/officeDocument/2006/relationships/hyperlink" Target="http://www.land.gov.il/TozaotMichrazim/resultsDetailed.aspx?id=81300&amp;rc=233&amp;tr=674" TargetMode="External"/><Relationship Id="rId1959" Type="http://schemas.openxmlformats.org/officeDocument/2006/relationships/hyperlink" Target="http://www.land.gov.il/TozaotMichrazim/resultsDetailed.aspx?id=76993&amp;rc=495&amp;tr=674" TargetMode="External"/><Relationship Id="rId13" Type="http://schemas.openxmlformats.org/officeDocument/2006/relationships/hyperlink" Target="http://www.land.gov.il/TozaotMichrazim/resultsDetailed.aspx?id=84735&amp;rc=7&amp;tr=685" TargetMode="External"/><Relationship Id="rId1819" Type="http://schemas.openxmlformats.org/officeDocument/2006/relationships/hyperlink" Target="http://www.land.gov.il/TozaotMichrazim/resultsDetailed.aspx?id=81402&amp;rc=335&amp;tr=674" TargetMode="External"/><Relationship Id="rId2190" Type="http://schemas.openxmlformats.org/officeDocument/2006/relationships/hyperlink" Target="http://www.land.gov.il/PirsumMichrazim/Aspx/pirsumDetails.aspx?id=3232016%E1%F9&amp;rc=8&amp;tr=196" TargetMode="External"/><Relationship Id="rId2288" Type="http://schemas.openxmlformats.org/officeDocument/2006/relationships/hyperlink" Target="http://www.land.gov.il/TozaotMichrazim/resultsDetailed.aspx?id=87657&amp;rc=235&amp;tr=424" TargetMode="External"/><Relationship Id="rId2495" Type="http://schemas.openxmlformats.org/officeDocument/2006/relationships/hyperlink" Target="http://www.land.gov.il/TozaotMichrazim/resultsDetailed.aspx?id=71522&amp;rc=47&amp;tr=87" TargetMode="External"/><Relationship Id="rId162" Type="http://schemas.openxmlformats.org/officeDocument/2006/relationships/hyperlink" Target="http://www.land.gov.il/TozaotMichrazim/resultsDetailed.aspx?id=86402&amp;rc=18&amp;tr=1693" TargetMode="External"/><Relationship Id="rId467" Type="http://schemas.openxmlformats.org/officeDocument/2006/relationships/hyperlink" Target="http://www.land.gov.il/TozaotMichrazim/resultsDetailed.aspx?id=85203&amp;rc=348&amp;tr=1693" TargetMode="External"/><Relationship Id="rId1097" Type="http://schemas.openxmlformats.org/officeDocument/2006/relationships/hyperlink" Target="http://www.land.gov.il/TozaotMichrazim/resultsDetailed.aspx?id=83025&amp;rc=1124&amp;tr=1693" TargetMode="External"/><Relationship Id="rId2050" Type="http://schemas.openxmlformats.org/officeDocument/2006/relationships/hyperlink" Target="http://www.land.gov.il/TozaotMichrazim/resultsDetailed.aspx?id=86642&amp;rc=13&amp;tr=155" TargetMode="External"/><Relationship Id="rId2148" Type="http://schemas.openxmlformats.org/officeDocument/2006/relationships/hyperlink" Target="http://www.land.gov.il/iturtabot2/taba2.aspx?tbMerchav=401&amp;tbMsTochnit=%25u05de%25u05d3/1/9" TargetMode="External"/><Relationship Id="rId674" Type="http://schemas.openxmlformats.org/officeDocument/2006/relationships/hyperlink" Target="http://www.land.gov.il/TozaotMichrazim/resultsDetailed.aspx?id=85460&amp;rc=605&amp;tr=1693" TargetMode="External"/><Relationship Id="rId881" Type="http://schemas.openxmlformats.org/officeDocument/2006/relationships/hyperlink" Target="http://www.land.gov.il/TozaotMichrazim/resultsDetailed.aspx?id=82770&amp;rc=869&amp;tr=1693" TargetMode="External"/><Relationship Id="rId979" Type="http://schemas.openxmlformats.org/officeDocument/2006/relationships/hyperlink" Target="http://www.land.gov.il/TozaotMichrazim/resultsDetailed.aspx?id=82882&amp;rc=981&amp;tr=1693" TargetMode="External"/><Relationship Id="rId2355" Type="http://schemas.openxmlformats.org/officeDocument/2006/relationships/hyperlink" Target="http://www.land.gov.il/TozaotMichrazim/resultsDetailed.aspx?id=87724&amp;rc=302&amp;tr=424" TargetMode="External"/><Relationship Id="rId2562" Type="http://schemas.openxmlformats.org/officeDocument/2006/relationships/control" Target="../activeX/activeX23.xml"/><Relationship Id="rId327" Type="http://schemas.openxmlformats.org/officeDocument/2006/relationships/hyperlink" Target="http://www.land.gov.il/TozaotMichrazim/resultsDetailed.aspx?id=85053&amp;rc=198&amp;tr=1693" TargetMode="External"/><Relationship Id="rId534" Type="http://schemas.openxmlformats.org/officeDocument/2006/relationships/hyperlink" Target="http://www.land.gov.il/TozaotMichrazim/resultsDetailed.aspx?id=85286&amp;rc=431&amp;tr=1693" TargetMode="External"/><Relationship Id="rId741" Type="http://schemas.openxmlformats.org/officeDocument/2006/relationships/hyperlink" Target="http://www.land.gov.il/TozaotMichrazim/resultsDetailed.aspx?id=85546&amp;rc=691&amp;tr=1693" TargetMode="External"/><Relationship Id="rId839" Type="http://schemas.openxmlformats.org/officeDocument/2006/relationships/hyperlink" Target="http://www.land.gov.il/TozaotMichrazim/resultsDetailed.aspx?id=82726&amp;rc=825&amp;tr=1693" TargetMode="External"/><Relationship Id="rId1164" Type="http://schemas.openxmlformats.org/officeDocument/2006/relationships/hyperlink" Target="http://www.land.gov.il/TozaotMichrazim/resultsDetailed.aspx?id=83102&amp;rc=1201&amp;tr=1693" TargetMode="External"/><Relationship Id="rId1371" Type="http://schemas.openxmlformats.org/officeDocument/2006/relationships/hyperlink" Target="http://www.land.gov.il/TozaotMichrazim/resultsDetailed.aspx?id=76272&amp;rc=1424&amp;tr=1693" TargetMode="External"/><Relationship Id="rId1469" Type="http://schemas.openxmlformats.org/officeDocument/2006/relationships/hyperlink" Target="http://www.land.gov.il/TozaotMichrazim/resultsDetailed.aspx?id=81689&amp;rc=58&amp;tr=421" TargetMode="External"/><Relationship Id="rId2008" Type="http://schemas.openxmlformats.org/officeDocument/2006/relationships/hyperlink" Target="http://www.land.gov.il/TozaotMichrazim/resultsDetailed.aspx?id=83635&amp;rc=32&amp;tr=440" TargetMode="External"/><Relationship Id="rId2215" Type="http://schemas.openxmlformats.org/officeDocument/2006/relationships/hyperlink" Target="http://www.land.gov.il/TozaotMichrazim/Results.aspx?NewSearch=true&amp;ynmichraz=2014&amp;anMichraz=%e7%e9&amp;Nnmichraz=340" TargetMode="External"/><Relationship Id="rId2422" Type="http://schemas.openxmlformats.org/officeDocument/2006/relationships/hyperlink" Target="http://www.land.gov.il/TozaotMichrazim/resultsDetailed.aspx?id=87346&amp;rc=390&amp;tr=424" TargetMode="External"/><Relationship Id="rId601" Type="http://schemas.openxmlformats.org/officeDocument/2006/relationships/hyperlink" Target="http://www.land.gov.il/TozaotMichrazim/resultsDetailed.aspx?id=85371&amp;rc=516&amp;tr=1693" TargetMode="External"/><Relationship Id="rId1024" Type="http://schemas.openxmlformats.org/officeDocument/2006/relationships/hyperlink" Target="http://www.land.gov.il/TozaotMichrazim/resultsDetailed.aspx?id=82936&amp;rc=1035&amp;tr=1693" TargetMode="External"/><Relationship Id="rId1231" Type="http://schemas.openxmlformats.org/officeDocument/2006/relationships/hyperlink" Target="http://www.land.gov.il/TozaotMichrazim/resultsDetailed.aspx?id=83183&amp;rc=1282&amp;tr=1693" TargetMode="External"/><Relationship Id="rId1676" Type="http://schemas.openxmlformats.org/officeDocument/2006/relationships/hyperlink" Target="http://www.land.gov.il/TozaotMichrazim/resultsDetailed.aspx?id=84602&amp;rc=166&amp;tr=674" TargetMode="External"/><Relationship Id="rId1883" Type="http://schemas.openxmlformats.org/officeDocument/2006/relationships/hyperlink" Target="http://www.land.gov.il/TozaotMichrazim/resultsDetailed.aspx?id=79963&amp;rc=399&amp;tr=674" TargetMode="External"/><Relationship Id="rId2727" Type="http://schemas.openxmlformats.org/officeDocument/2006/relationships/control" Target="../activeX/activeX188.xml"/><Relationship Id="rId906" Type="http://schemas.openxmlformats.org/officeDocument/2006/relationships/hyperlink" Target="http://www.land.gov.il/TozaotMichrazim/resultsDetailed.aspx?id=82796&amp;rc=895&amp;tr=1693" TargetMode="External"/><Relationship Id="rId1329" Type="http://schemas.openxmlformats.org/officeDocument/2006/relationships/hyperlink" Target="http://www.land.gov.il/TozaotMichrazim/resultsDetailed.aspx?id=76230&amp;rc=1382&amp;tr=1693" TargetMode="External"/><Relationship Id="rId1536" Type="http://schemas.openxmlformats.org/officeDocument/2006/relationships/hyperlink" Target="http://www.land.gov.il/TozaotMichrazim/resultsDetailed.aspx?id=86432&amp;rc=23&amp;tr=674" TargetMode="External"/><Relationship Id="rId1743" Type="http://schemas.openxmlformats.org/officeDocument/2006/relationships/hyperlink" Target="http://www.land.gov.il/TozaotMichrazim/resultsDetailed.aspx?id=81323&amp;rc=256&amp;tr=674" TargetMode="External"/><Relationship Id="rId1950" Type="http://schemas.openxmlformats.org/officeDocument/2006/relationships/hyperlink" Target="http://www.land.gov.il/TozaotMichrazim/resultsDetailed.aspx?id=76984&amp;rc=486&amp;tr=674" TargetMode="External"/><Relationship Id="rId35" Type="http://schemas.openxmlformats.org/officeDocument/2006/relationships/hyperlink" Target="http://www.land.gov.il/TozaotMichrazim/resultsDetailed.aspx?id=84618&amp;rc=29&amp;tr=685" TargetMode="External"/><Relationship Id="rId1603" Type="http://schemas.openxmlformats.org/officeDocument/2006/relationships/hyperlink" Target="http://www.land.gov.il/TozaotMichrazim/resultsDetailed.aspx?id=86499&amp;rc=90&amp;tr=674" TargetMode="External"/><Relationship Id="rId1810" Type="http://schemas.openxmlformats.org/officeDocument/2006/relationships/hyperlink" Target="http://www.land.gov.il/TozaotMichrazim/resultsDetailed.aspx?id=81393&amp;rc=326&amp;tr=674" TargetMode="External"/><Relationship Id="rId184" Type="http://schemas.openxmlformats.org/officeDocument/2006/relationships/hyperlink" Target="http://www.land.gov.il/TozaotMichrazim/resultsDetailed.aspx?id=84904&amp;rc=49&amp;tr=1693" TargetMode="External"/><Relationship Id="rId391" Type="http://schemas.openxmlformats.org/officeDocument/2006/relationships/hyperlink" Target="http://www.land.gov.il/TozaotMichrazim/resultsDetailed.aspx?id=85118&amp;rc=263&amp;tr=1693" TargetMode="External"/><Relationship Id="rId1908" Type="http://schemas.openxmlformats.org/officeDocument/2006/relationships/hyperlink" Target="http://www.land.gov.il/TozaotMichrazim/resultsDetailed.aspx?id=79150&amp;rc=424&amp;tr=674" TargetMode="External"/><Relationship Id="rId2072" Type="http://schemas.openxmlformats.org/officeDocument/2006/relationships/hyperlink" Target="http://www.land.gov.il/TozaotMichrazim/resultsDetailed.aspx?id=87053&amp;rc=13&amp;tr=115" TargetMode="External"/><Relationship Id="rId251" Type="http://schemas.openxmlformats.org/officeDocument/2006/relationships/hyperlink" Target="http://www.land.gov.il/TozaotMichrazim/resultsDetailed.aspx?id=84977&amp;rc=122&amp;tr=1693" TargetMode="External"/><Relationship Id="rId489" Type="http://schemas.openxmlformats.org/officeDocument/2006/relationships/hyperlink" Target="http://www.land.gov.il/TozaotMichrazim/resultsDetailed.aspx?id=85226&amp;rc=371&amp;tr=1693" TargetMode="External"/><Relationship Id="rId696" Type="http://schemas.openxmlformats.org/officeDocument/2006/relationships/hyperlink" Target="http://www.land.gov.il/TozaotMichrazim/resultsDetailed.aspx?id=85483&amp;rc=628&amp;tr=1693" TargetMode="External"/><Relationship Id="rId2377" Type="http://schemas.openxmlformats.org/officeDocument/2006/relationships/hyperlink" Target="http://www.land.gov.il/TozaotMichrazim/resultsDetailed.aspx?id=87746&amp;rc=324&amp;tr=424" TargetMode="External"/><Relationship Id="rId2584" Type="http://schemas.openxmlformats.org/officeDocument/2006/relationships/control" Target="../activeX/activeX45.xml"/><Relationship Id="rId2791" Type="http://schemas.openxmlformats.org/officeDocument/2006/relationships/control" Target="../activeX/activeX252.xml"/><Relationship Id="rId349" Type="http://schemas.openxmlformats.org/officeDocument/2006/relationships/hyperlink" Target="http://www.land.gov.il/TozaotMichrazim/resultsDetailed.aspx?id=85075&amp;rc=220&amp;tr=1693" TargetMode="External"/><Relationship Id="rId556" Type="http://schemas.openxmlformats.org/officeDocument/2006/relationships/hyperlink" Target="http://www.land.gov.il/TozaotMichrazim/resultsDetailed.aspx?id=85311&amp;rc=456&amp;tr=1693" TargetMode="External"/><Relationship Id="rId763" Type="http://schemas.openxmlformats.org/officeDocument/2006/relationships/hyperlink" Target="http://www.land.gov.il/TozaotMichrazim/resultsDetailed.aspx?id=84815&amp;rc=719&amp;tr=1693" TargetMode="External"/><Relationship Id="rId1186" Type="http://schemas.openxmlformats.org/officeDocument/2006/relationships/hyperlink" Target="http://www.land.gov.il/TozaotMichrazim/resultsDetailed.aspx?id=83125&amp;rc=1224&amp;tr=1693" TargetMode="External"/><Relationship Id="rId1393" Type="http://schemas.openxmlformats.org/officeDocument/2006/relationships/hyperlink" Target="http://www.land.gov.il/TozaotMichrazim/resultsDetailed.aspx?id=86041&amp;rc=2&amp;tr=79" TargetMode="External"/><Relationship Id="rId2237" Type="http://schemas.openxmlformats.org/officeDocument/2006/relationships/hyperlink" Target="http://www.land.gov.il/TozaotMichrazim/resultsDetailed.aspx?id=87841&amp;rc=21&amp;tr=424" TargetMode="External"/><Relationship Id="rId2444" Type="http://schemas.openxmlformats.org/officeDocument/2006/relationships/hyperlink" Target="http://www.land.gov.il/TozaotMichrazim/resultsDetailed.aspx?id=87327&amp;rc=420&amp;tr=424" TargetMode="External"/><Relationship Id="rId111" Type="http://schemas.openxmlformats.org/officeDocument/2006/relationships/hyperlink" Target="http://www.land.gov.il/TozaotMichrazim/resultsDetailed.aspx?id=81795&amp;rc=105&amp;tr=685" TargetMode="External"/><Relationship Id="rId209" Type="http://schemas.openxmlformats.org/officeDocument/2006/relationships/hyperlink" Target="http://www.land.gov.il/TozaotMichrazim/resultsDetailed.aspx?id=84930&amp;rc=75&amp;tr=1693" TargetMode="External"/><Relationship Id="rId416" Type="http://schemas.openxmlformats.org/officeDocument/2006/relationships/hyperlink" Target="http://www.land.gov.il/TozaotMichrazim/resultsDetailed.aspx?id=85152&amp;rc=297&amp;tr=1693" TargetMode="External"/><Relationship Id="rId970" Type="http://schemas.openxmlformats.org/officeDocument/2006/relationships/hyperlink" Target="http://www.land.gov.il/TozaotMichrazim/resultsDetailed.aspx?id=82866&amp;rc=965&amp;tr=1693" TargetMode="External"/><Relationship Id="rId1046" Type="http://schemas.openxmlformats.org/officeDocument/2006/relationships/hyperlink" Target="http://www.land.gov.il/TozaotMichrazim/resultsDetailed.aspx?id=82962&amp;rc=1061&amp;tr=1693" TargetMode="External"/><Relationship Id="rId1253" Type="http://schemas.openxmlformats.org/officeDocument/2006/relationships/hyperlink" Target="http://www.land.gov.il/TozaotMichrazim/resultsDetailed.aspx?id=79326&amp;rc=1306&amp;tr=1693" TargetMode="External"/><Relationship Id="rId1698" Type="http://schemas.openxmlformats.org/officeDocument/2006/relationships/hyperlink" Target="http://www.land.gov.il/TozaotMichrazim/resultsDetailed.aspx?id=81273&amp;rc=206&amp;tr=674" TargetMode="External"/><Relationship Id="rId2651" Type="http://schemas.openxmlformats.org/officeDocument/2006/relationships/control" Target="../activeX/activeX112.xml"/><Relationship Id="rId2749" Type="http://schemas.openxmlformats.org/officeDocument/2006/relationships/control" Target="../activeX/activeX210.xml"/><Relationship Id="rId623" Type="http://schemas.openxmlformats.org/officeDocument/2006/relationships/hyperlink" Target="http://www.land.gov.il/TozaotMichrazim/resultsDetailed.aspx?id=85398&amp;rc=543&amp;tr=1693" TargetMode="External"/><Relationship Id="rId830" Type="http://schemas.openxmlformats.org/officeDocument/2006/relationships/hyperlink" Target="http://www.land.gov.il/TozaotMichrazim/resultsDetailed.aspx?id=82714&amp;rc=813&amp;tr=1693" TargetMode="External"/><Relationship Id="rId928" Type="http://schemas.openxmlformats.org/officeDocument/2006/relationships/hyperlink" Target="http://www.land.gov.il/TozaotMichrazim/resultsDetailed.aspx?id=82819&amp;rc=918&amp;tr=1693" TargetMode="External"/><Relationship Id="rId1460" Type="http://schemas.openxmlformats.org/officeDocument/2006/relationships/hyperlink" Target="http://www.land.gov.il/TozaotMichrazim/resultsDetailed.aspx?id=83301&amp;rc=49&amp;tr=421" TargetMode="External"/><Relationship Id="rId1558" Type="http://schemas.openxmlformats.org/officeDocument/2006/relationships/hyperlink" Target="http://www.land.gov.il/TozaotMichrazim/resultsDetailed.aspx?id=86454&amp;rc=45&amp;tr=674" TargetMode="External"/><Relationship Id="rId1765" Type="http://schemas.openxmlformats.org/officeDocument/2006/relationships/hyperlink" Target="http://www.land.gov.il/TozaotMichrazim/resultsDetailed.aspx?id=81345&amp;rc=278&amp;tr=674" TargetMode="External"/><Relationship Id="rId2304" Type="http://schemas.openxmlformats.org/officeDocument/2006/relationships/hyperlink" Target="http://www.land.gov.il/TozaotMichrazim/resultsDetailed.aspx?id=87673&amp;rc=251&amp;tr=424" TargetMode="External"/><Relationship Id="rId2511" Type="http://schemas.openxmlformats.org/officeDocument/2006/relationships/hyperlink" Target="http://www.land.gov.il/TozaotMichrazim/resultsDetailed.aspx?id=71351&amp;rc=63&amp;tr=87" TargetMode="External"/><Relationship Id="rId2609" Type="http://schemas.openxmlformats.org/officeDocument/2006/relationships/control" Target="../activeX/activeX70.xml"/><Relationship Id="rId57" Type="http://schemas.openxmlformats.org/officeDocument/2006/relationships/hyperlink" Target="http://www.land.gov.il/TozaotMichrazim/resultsDetailed.aspx?id=84640&amp;rc=51&amp;tr=685" TargetMode="External"/><Relationship Id="rId1113" Type="http://schemas.openxmlformats.org/officeDocument/2006/relationships/hyperlink" Target="http://www.land.gov.il/TozaotMichrazim/resultsDetailed.aspx?id=83043&amp;rc=1142&amp;tr=1693" TargetMode="External"/><Relationship Id="rId1320" Type="http://schemas.openxmlformats.org/officeDocument/2006/relationships/hyperlink" Target="http://www.land.gov.il/TozaotMichrazim/resultsDetailed.aspx?id=77165&amp;rc=1373&amp;tr=1693" TargetMode="External"/><Relationship Id="rId1418" Type="http://schemas.openxmlformats.org/officeDocument/2006/relationships/hyperlink" Target="http://www.land.gov.il/TozaotMichrazim/resultsDetailed.aspx?id=87231&amp;rc=5&amp;tr=421" TargetMode="External"/><Relationship Id="rId1972" Type="http://schemas.openxmlformats.org/officeDocument/2006/relationships/hyperlink" Target="http://www.land.gov.il/TozaotMichrazim/resultsDetailed.aspx?id=75058&amp;rc=509&amp;tr=674" TargetMode="External"/><Relationship Id="rId1625" Type="http://schemas.openxmlformats.org/officeDocument/2006/relationships/hyperlink" Target="http://www.land.gov.il/TozaotMichrazim/resultsDetailed.aspx?id=86521&amp;rc=112&amp;tr=674" TargetMode="External"/><Relationship Id="rId1832" Type="http://schemas.openxmlformats.org/officeDocument/2006/relationships/hyperlink" Target="http://www.land.gov.il/TozaotMichrazim/resultsDetailed.aspx?id=81415&amp;rc=348&amp;tr=674" TargetMode="External"/><Relationship Id="rId2094" Type="http://schemas.openxmlformats.org/officeDocument/2006/relationships/hyperlink" Target="http://www.land.gov.il/TozaotMichrazim/resultsDetailed.aspx?id=84826&amp;rc=10&amp;tr=100" TargetMode="External"/><Relationship Id="rId273" Type="http://schemas.openxmlformats.org/officeDocument/2006/relationships/hyperlink" Target="http://www.land.gov.il/TozaotMichrazim/resultsDetailed.aspx?id=84999&amp;rc=144&amp;tr=1693" TargetMode="External"/><Relationship Id="rId480" Type="http://schemas.openxmlformats.org/officeDocument/2006/relationships/hyperlink" Target="http://www.land.gov.il/TozaotMichrazim/resultsDetailed.aspx?id=85217&amp;rc=362&amp;tr=1693" TargetMode="External"/><Relationship Id="rId2161" Type="http://schemas.openxmlformats.org/officeDocument/2006/relationships/hyperlink" Target="http://www.land.gov.il/PirsumMichrazim/Aspx/pirsumDetails.aspx?id=2812016%F6%F4&amp;rc=1&amp;tr=1" TargetMode="External"/><Relationship Id="rId2399" Type="http://schemas.openxmlformats.org/officeDocument/2006/relationships/hyperlink" Target="http://www.land.gov.il/TozaotMichrazim/resultsDetailed.aspx?id=87304&amp;rc=350&amp;tr=424" TargetMode="External"/><Relationship Id="rId133" Type="http://schemas.openxmlformats.org/officeDocument/2006/relationships/hyperlink" Target="http://www.land.gov.il/TozaotMichrazim/resultsDetailed.aspx?id=77014&amp;rc=132&amp;tr=685" TargetMode="External"/><Relationship Id="rId340" Type="http://schemas.openxmlformats.org/officeDocument/2006/relationships/hyperlink" Target="http://www.land.gov.il/TozaotMichrazim/resultsDetailed.aspx?id=85066&amp;rc=211&amp;tr=1693" TargetMode="External"/><Relationship Id="rId578" Type="http://schemas.openxmlformats.org/officeDocument/2006/relationships/hyperlink" Target="http://www.land.gov.il/TozaotMichrazim/resultsDetailed.aspx?id=85336&amp;rc=481&amp;tr=1693" TargetMode="External"/><Relationship Id="rId785" Type="http://schemas.openxmlformats.org/officeDocument/2006/relationships/hyperlink" Target="http://www.land.gov.il/TozaotMichrazim/resultsDetailed.aspx?id=82650&amp;rc=749&amp;tr=1693" TargetMode="External"/><Relationship Id="rId992" Type="http://schemas.openxmlformats.org/officeDocument/2006/relationships/hyperlink" Target="http://www.land.gov.il/TozaotMichrazim/resultsDetailed.aspx?id=82899&amp;rc=998&amp;tr=1693" TargetMode="External"/><Relationship Id="rId2021" Type="http://schemas.openxmlformats.org/officeDocument/2006/relationships/hyperlink" Target="http://www.land.gov.il/TozaotMichrazim/resultsDetailed.aspx?id=79122&amp;rc=47&amp;tr=440" TargetMode="External"/><Relationship Id="rId2259" Type="http://schemas.openxmlformats.org/officeDocument/2006/relationships/hyperlink" Target="http://www.land.gov.il/TozaotMichrazim/resultsDetailed.aspx?id=87764&amp;rc=204&amp;tr=424" TargetMode="External"/><Relationship Id="rId2466" Type="http://schemas.openxmlformats.org/officeDocument/2006/relationships/hyperlink" Target="http://www.land.gov.il/TozaotMichrazim/resultsDetailed.aspx?id=85590&amp;rc=18&amp;tr=87" TargetMode="External"/><Relationship Id="rId2673" Type="http://schemas.openxmlformats.org/officeDocument/2006/relationships/control" Target="../activeX/activeX134.xml"/><Relationship Id="rId200" Type="http://schemas.openxmlformats.org/officeDocument/2006/relationships/hyperlink" Target="http://www.land.gov.il/TozaotMichrazim/resultsDetailed.aspx?id=84921&amp;rc=66&amp;tr=1693" TargetMode="External"/><Relationship Id="rId438" Type="http://schemas.openxmlformats.org/officeDocument/2006/relationships/hyperlink" Target="http://www.land.gov.il/TozaotMichrazim/resultsDetailed.aspx?id=85174&amp;rc=319&amp;tr=1693" TargetMode="External"/><Relationship Id="rId645" Type="http://schemas.openxmlformats.org/officeDocument/2006/relationships/hyperlink" Target="http://www.land.gov.il/TozaotMichrazim/resultsDetailed.aspx?id=85427&amp;rc=572&amp;tr=1693" TargetMode="External"/><Relationship Id="rId852" Type="http://schemas.openxmlformats.org/officeDocument/2006/relationships/hyperlink" Target="http://www.land.gov.il/TozaotMichrazim/resultsDetailed.aspx?id=82739&amp;rc=838&amp;tr=1693" TargetMode="External"/><Relationship Id="rId1068" Type="http://schemas.openxmlformats.org/officeDocument/2006/relationships/hyperlink" Target="http://www.land.gov.il/TozaotMichrazim/resultsDetailed.aspx?id=82990&amp;rc=1089&amp;tr=1693" TargetMode="External"/><Relationship Id="rId1275" Type="http://schemas.openxmlformats.org/officeDocument/2006/relationships/hyperlink" Target="http://www.land.gov.il/TozaotMichrazim/resultsDetailed.aspx?id=79348&amp;rc=1328&amp;tr=1693" TargetMode="External"/><Relationship Id="rId1482" Type="http://schemas.openxmlformats.org/officeDocument/2006/relationships/hyperlink" Target="http://www.land.gov.il/TozaotMichrazim/resultsDetailed.aspx?id=80116&amp;rc=78&amp;tr=421" TargetMode="External"/><Relationship Id="rId2119" Type="http://schemas.openxmlformats.org/officeDocument/2006/relationships/hyperlink" Target="http://www.land.gov.il/PirsumMichrazim/Aspx/pirsumDetails.aspx?id=2432016%EE%F8&amp;rc=4&amp;tr=6" TargetMode="External"/><Relationship Id="rId2326" Type="http://schemas.openxmlformats.org/officeDocument/2006/relationships/hyperlink" Target="http://www.land.gov.il/TozaotMichrazim/resultsDetailed.aspx?id=87695&amp;rc=273&amp;tr=424" TargetMode="External"/><Relationship Id="rId2533" Type="http://schemas.openxmlformats.org/officeDocument/2006/relationships/hyperlink" Target="http://www.land.gov.il/TozaotMichrazim/resultsDetailed.aspx?id=55079&amp;rc=85&amp;tr=87" TargetMode="External"/><Relationship Id="rId2740" Type="http://schemas.openxmlformats.org/officeDocument/2006/relationships/control" Target="../activeX/activeX201.xml"/><Relationship Id="rId505" Type="http://schemas.openxmlformats.org/officeDocument/2006/relationships/hyperlink" Target="http://www.land.gov.il/TozaotMichrazim/resultsDetailed.aspx?id=85252&amp;rc=397&amp;tr=1693" TargetMode="External"/><Relationship Id="rId712" Type="http://schemas.openxmlformats.org/officeDocument/2006/relationships/hyperlink" Target="http://www.land.gov.il/TozaotMichrazim/resultsDetailed.aspx?id=85504&amp;rc=649&amp;tr=1693" TargetMode="External"/><Relationship Id="rId1135" Type="http://schemas.openxmlformats.org/officeDocument/2006/relationships/hyperlink" Target="http://www.land.gov.il/TozaotMichrazim/resultsDetailed.aspx?id=83068&amp;rc=1167&amp;tr=1693" TargetMode="External"/><Relationship Id="rId1342" Type="http://schemas.openxmlformats.org/officeDocument/2006/relationships/hyperlink" Target="http://www.land.gov.il/TozaotMichrazim/resultsDetailed.aspx?id=76243&amp;rc=1395&amp;tr=1693" TargetMode="External"/><Relationship Id="rId1787" Type="http://schemas.openxmlformats.org/officeDocument/2006/relationships/hyperlink" Target="http://www.land.gov.il/TozaotMichrazim/resultsDetailed.aspx?id=81370&amp;rc=303&amp;tr=674" TargetMode="External"/><Relationship Id="rId1994" Type="http://schemas.openxmlformats.org/officeDocument/2006/relationships/hyperlink" Target="http://www.land.gov.il/TozaotMichrazim/resultsDetailed.aspx?id=86735&amp;rc=15&amp;tr=440" TargetMode="External"/><Relationship Id="rId79" Type="http://schemas.openxmlformats.org/officeDocument/2006/relationships/hyperlink" Target="http://www.land.gov.il/TozaotMichrazim/resultsDetailed.aspx?id=84662&amp;rc=73&amp;tr=685" TargetMode="External"/><Relationship Id="rId1202" Type="http://schemas.openxmlformats.org/officeDocument/2006/relationships/hyperlink" Target="http://www.land.gov.il/TozaotMichrazim/resultsDetailed.aspx?id=83142&amp;rc=1241&amp;tr=1693" TargetMode="External"/><Relationship Id="rId1647" Type="http://schemas.openxmlformats.org/officeDocument/2006/relationships/hyperlink" Target="http://www.land.gov.il/TozaotMichrazim/resultsDetailed.aspx?id=86543&amp;rc=134&amp;tr=674" TargetMode="External"/><Relationship Id="rId1854" Type="http://schemas.openxmlformats.org/officeDocument/2006/relationships/hyperlink" Target="http://www.land.gov.il/TozaotMichrazim/resultsDetailed.aspx?id=79934&amp;rc=370&amp;tr=674" TargetMode="External"/><Relationship Id="rId2600" Type="http://schemas.openxmlformats.org/officeDocument/2006/relationships/control" Target="../activeX/activeX61.xml"/><Relationship Id="rId1507" Type="http://schemas.openxmlformats.org/officeDocument/2006/relationships/hyperlink" Target="http://www.land.gov.il/TozaotMichrazim/resultsDetailed.aspx?id=79027&amp;rc=103&amp;tr=421" TargetMode="External"/><Relationship Id="rId1714" Type="http://schemas.openxmlformats.org/officeDocument/2006/relationships/hyperlink" Target="http://www.land.gov.il/TozaotMichrazim/resultsDetailed.aspx?id=81293&amp;rc=226&amp;tr=674" TargetMode="External"/><Relationship Id="rId295" Type="http://schemas.openxmlformats.org/officeDocument/2006/relationships/hyperlink" Target="http://www.land.gov.il/TozaotMichrazim/resultsDetailed.aspx?id=85021&amp;rc=166&amp;tr=1693" TargetMode="External"/><Relationship Id="rId1921" Type="http://schemas.openxmlformats.org/officeDocument/2006/relationships/hyperlink" Target="http://www.land.gov.il/TozaotMichrazim/resultsDetailed.aspx?id=76943&amp;rc=445&amp;tr=674" TargetMode="External"/><Relationship Id="rId2183" Type="http://schemas.openxmlformats.org/officeDocument/2006/relationships/hyperlink" Target="http://www.land.gov.il/PirsumMichrazim/Aspx/pirsumDetails.aspx?id=2292016%EE%F8&amp;rc=4&amp;tr=6" TargetMode="External"/><Relationship Id="rId2390" Type="http://schemas.openxmlformats.org/officeDocument/2006/relationships/hyperlink" Target="http://www.land.gov.il/TozaotMichrazim/resultsDetailed.aspx?id=87295&amp;rc=341&amp;tr=424" TargetMode="External"/><Relationship Id="rId2488" Type="http://schemas.openxmlformats.org/officeDocument/2006/relationships/hyperlink" Target="http://www.land.gov.il/TozaotMichrazim/resultsDetailed.aspx?id=75187&amp;rc=40&amp;tr=87" TargetMode="External"/><Relationship Id="rId155" Type="http://schemas.openxmlformats.org/officeDocument/2006/relationships/hyperlink" Target="http://www.land.gov.il/TozaotMichrazim/resultsDetailed.aspx?id=76570&amp;rc=157&amp;tr=685" TargetMode="External"/><Relationship Id="rId362" Type="http://schemas.openxmlformats.org/officeDocument/2006/relationships/hyperlink" Target="http://www.land.gov.il/TozaotMichrazim/resultsDetailed.aspx?id=85088&amp;rc=233&amp;tr=1693" TargetMode="External"/><Relationship Id="rId1297" Type="http://schemas.openxmlformats.org/officeDocument/2006/relationships/hyperlink" Target="http://www.land.gov.il/TozaotMichrazim/resultsDetailed.aspx?id=78773&amp;rc=1350&amp;tr=1693" TargetMode="External"/><Relationship Id="rId2043" Type="http://schemas.openxmlformats.org/officeDocument/2006/relationships/hyperlink" Target="http://www.land.gov.il/TozaotMichrazim/resultsDetailed.aspx?id=79144&amp;rc=69&amp;tr=440" TargetMode="External"/><Relationship Id="rId2250" Type="http://schemas.openxmlformats.org/officeDocument/2006/relationships/hyperlink" Target="http://www.land.gov.il/TozaotMichrazim/resultsDetailed.aspx?id=87854&amp;rc=34&amp;tr=424" TargetMode="External"/><Relationship Id="rId2695" Type="http://schemas.openxmlformats.org/officeDocument/2006/relationships/control" Target="../activeX/activeX156.xml"/><Relationship Id="rId222" Type="http://schemas.openxmlformats.org/officeDocument/2006/relationships/hyperlink" Target="http://www.land.gov.il/TozaotMichrazim/resultsDetailed.aspx?id=84943&amp;rc=88&amp;tr=1693" TargetMode="External"/><Relationship Id="rId667" Type="http://schemas.openxmlformats.org/officeDocument/2006/relationships/hyperlink" Target="http://www.land.gov.il/TozaotMichrazim/resultsDetailed.aspx?id=85453&amp;rc=598&amp;tr=1693" TargetMode="External"/><Relationship Id="rId874" Type="http://schemas.openxmlformats.org/officeDocument/2006/relationships/hyperlink" Target="http://www.land.gov.il/TozaotMichrazim/resultsDetailed.aspx?id=82762&amp;rc=861&amp;tr=1693" TargetMode="External"/><Relationship Id="rId2110" Type="http://schemas.openxmlformats.org/officeDocument/2006/relationships/hyperlink" Target="http://www.land.gov.il/IturTabot2/taba1.aspx?MisTochnit=%u05EA%u05DE%u05DC/1021&amp;Ishuv=7700" TargetMode="External"/><Relationship Id="rId2348" Type="http://schemas.openxmlformats.org/officeDocument/2006/relationships/hyperlink" Target="http://www.land.gov.il/TozaotMichrazim/resultsDetailed.aspx?id=87717&amp;rc=295&amp;tr=424" TargetMode="External"/><Relationship Id="rId2555" Type="http://schemas.openxmlformats.org/officeDocument/2006/relationships/control" Target="../activeX/activeX16.xml"/><Relationship Id="rId2762" Type="http://schemas.openxmlformats.org/officeDocument/2006/relationships/control" Target="../activeX/activeX223.xml"/><Relationship Id="rId527" Type="http://schemas.openxmlformats.org/officeDocument/2006/relationships/hyperlink" Target="http://www.land.gov.il/TozaotMichrazim/resultsDetailed.aspx?id=85279&amp;rc=424&amp;tr=1693" TargetMode="External"/><Relationship Id="rId734" Type="http://schemas.openxmlformats.org/officeDocument/2006/relationships/hyperlink" Target="http://www.land.gov.il/TozaotMichrazim/resultsDetailed.aspx?id=85539&amp;rc=684&amp;tr=1693" TargetMode="External"/><Relationship Id="rId941" Type="http://schemas.openxmlformats.org/officeDocument/2006/relationships/hyperlink" Target="http://www.land.gov.il/TozaotMichrazim/resultsDetailed.aspx?id=82834&amp;rc=933&amp;tr=1693" TargetMode="External"/><Relationship Id="rId1157" Type="http://schemas.openxmlformats.org/officeDocument/2006/relationships/hyperlink" Target="http://www.land.gov.il/TozaotMichrazim/resultsDetailed.aspx?id=83093&amp;rc=1192&amp;tr=1693" TargetMode="External"/><Relationship Id="rId1364" Type="http://schemas.openxmlformats.org/officeDocument/2006/relationships/hyperlink" Target="http://www.land.gov.il/TozaotMichrazim/resultsDetailed.aspx?id=76265&amp;rc=1417&amp;tr=1693" TargetMode="External"/><Relationship Id="rId1571" Type="http://schemas.openxmlformats.org/officeDocument/2006/relationships/hyperlink" Target="http://www.land.gov.il/TozaotMichrazim/resultsDetailed.aspx?id=86467&amp;rc=58&amp;tr=674" TargetMode="External"/><Relationship Id="rId2208" Type="http://schemas.openxmlformats.org/officeDocument/2006/relationships/hyperlink" Target="http://land.gov.il/TozaotMichrazim/Results.aspx?NewSearch=true&amp;ynmichraz=2015&amp;anMichraz=%e7%e9&amp;Nnmichraz=269" TargetMode="External"/><Relationship Id="rId2415" Type="http://schemas.openxmlformats.org/officeDocument/2006/relationships/hyperlink" Target="http://www.land.gov.il/TozaotMichrazim/resultsDetailed.aspx?id=87339&amp;rc=383&amp;tr=424" TargetMode="External"/><Relationship Id="rId2622" Type="http://schemas.openxmlformats.org/officeDocument/2006/relationships/control" Target="../activeX/activeX83.xml"/><Relationship Id="rId70" Type="http://schemas.openxmlformats.org/officeDocument/2006/relationships/hyperlink" Target="http://www.land.gov.il/TozaotMichrazim/resultsDetailed.aspx?id=84653&amp;rc=64&amp;tr=685" TargetMode="External"/><Relationship Id="rId801" Type="http://schemas.openxmlformats.org/officeDocument/2006/relationships/hyperlink" Target="http://www.land.gov.il/TozaotMichrazim/resultsDetailed.aspx?id=82669&amp;rc=768&amp;tr=1693" TargetMode="External"/><Relationship Id="rId1017" Type="http://schemas.openxmlformats.org/officeDocument/2006/relationships/hyperlink" Target="http://www.land.gov.il/TozaotMichrazim/resultsDetailed.aspx?id=82928&amp;rc=1027&amp;tr=1693" TargetMode="External"/><Relationship Id="rId1224" Type="http://schemas.openxmlformats.org/officeDocument/2006/relationships/hyperlink" Target="http://www.land.gov.il/TozaotMichrazim/resultsDetailed.aspx?id=83176&amp;rc=1275&amp;tr=1693" TargetMode="External"/><Relationship Id="rId1431" Type="http://schemas.openxmlformats.org/officeDocument/2006/relationships/hyperlink" Target="http://www.land.gov.il/TozaotMichrazim/resultsDetailed.aspx?id=87244&amp;rc=18&amp;tr=421" TargetMode="External"/><Relationship Id="rId1669" Type="http://schemas.openxmlformats.org/officeDocument/2006/relationships/hyperlink" Target="http://www.land.gov.il/TozaotMichrazim/resultsDetailed.aspx?id=84697&amp;rc=159&amp;tr=674" TargetMode="External"/><Relationship Id="rId1876" Type="http://schemas.openxmlformats.org/officeDocument/2006/relationships/hyperlink" Target="http://www.land.gov.il/TozaotMichrazim/resultsDetailed.aspx?id=79956&amp;rc=392&amp;tr=674" TargetMode="External"/><Relationship Id="rId1529" Type="http://schemas.openxmlformats.org/officeDocument/2006/relationships/hyperlink" Target="http://www.land.gov.il/TozaotMichrazim/resultsDetailed.aspx?id=86425&amp;rc=16&amp;tr=674" TargetMode="External"/><Relationship Id="rId1736" Type="http://schemas.openxmlformats.org/officeDocument/2006/relationships/hyperlink" Target="http://www.land.gov.il/TozaotMichrazim/resultsDetailed.aspx?id=81316&amp;rc=249&amp;tr=674" TargetMode="External"/><Relationship Id="rId1943" Type="http://schemas.openxmlformats.org/officeDocument/2006/relationships/hyperlink" Target="http://www.land.gov.il/TozaotMichrazim/resultsDetailed.aspx?id=76977&amp;rc=479&amp;tr=674" TargetMode="External"/><Relationship Id="rId28" Type="http://schemas.openxmlformats.org/officeDocument/2006/relationships/hyperlink" Target="http://www.land.gov.il/TozaotMichrazim/resultsDetailed.aspx?id=84611&amp;rc=22&amp;tr=685" TargetMode="External"/><Relationship Id="rId1803" Type="http://schemas.openxmlformats.org/officeDocument/2006/relationships/hyperlink" Target="http://www.land.gov.il/TozaotMichrazim/resultsDetailed.aspx?id=81386&amp;rc=319&amp;tr=674" TargetMode="External"/><Relationship Id="rId177" Type="http://schemas.openxmlformats.org/officeDocument/2006/relationships/hyperlink" Target="http://www.land.gov.il/TozaotMichrazim/resultsDetailed.aspx?id=84897&amp;rc=42&amp;tr=1693" TargetMode="External"/><Relationship Id="rId384" Type="http://schemas.openxmlformats.org/officeDocument/2006/relationships/hyperlink" Target="http://www.land.gov.il/TozaotMichrazim/resultsDetailed.aspx?id=85110&amp;rc=255&amp;tr=1693" TargetMode="External"/><Relationship Id="rId591" Type="http://schemas.openxmlformats.org/officeDocument/2006/relationships/hyperlink" Target="http://www.land.gov.il/TozaotMichrazim/resultsDetailed.aspx?id=85351&amp;rc=496&amp;tr=1693" TargetMode="External"/><Relationship Id="rId2065" Type="http://schemas.openxmlformats.org/officeDocument/2006/relationships/hyperlink" Target="http://www.land.gov.il/TozaotMichrazim/resultsDetailed.aspx?id=87116&amp;rc=6&amp;tr=115" TargetMode="External"/><Relationship Id="rId2272" Type="http://schemas.openxmlformats.org/officeDocument/2006/relationships/hyperlink" Target="http://www.land.gov.il/TozaotMichrazim/resultsDetailed.aspx?id=87779&amp;rc=218&amp;tr=424" TargetMode="External"/><Relationship Id="rId244" Type="http://schemas.openxmlformats.org/officeDocument/2006/relationships/hyperlink" Target="http://www.land.gov.il/TozaotMichrazim/resultsDetailed.aspx?id=84966&amp;rc=111&amp;tr=1693" TargetMode="External"/><Relationship Id="rId689" Type="http://schemas.openxmlformats.org/officeDocument/2006/relationships/hyperlink" Target="http://www.land.gov.il/TozaotMichrazim/resultsDetailed.aspx?id=85475&amp;rc=620&amp;tr=1693" TargetMode="External"/><Relationship Id="rId896" Type="http://schemas.openxmlformats.org/officeDocument/2006/relationships/hyperlink" Target="http://www.land.gov.il/TozaotMichrazim/resultsDetailed.aspx?id=82785&amp;rc=884&amp;tr=1693" TargetMode="External"/><Relationship Id="rId1081" Type="http://schemas.openxmlformats.org/officeDocument/2006/relationships/hyperlink" Target="http://www.land.gov.il/TozaotMichrazim/resultsDetailed.aspx?id=83009&amp;rc=1108&amp;tr=1693" TargetMode="External"/><Relationship Id="rId2577" Type="http://schemas.openxmlformats.org/officeDocument/2006/relationships/control" Target="../activeX/activeX38.xml"/><Relationship Id="rId2784" Type="http://schemas.openxmlformats.org/officeDocument/2006/relationships/control" Target="../activeX/activeX245.xml"/><Relationship Id="rId451" Type="http://schemas.openxmlformats.org/officeDocument/2006/relationships/hyperlink" Target="http://www.land.gov.il/TozaotMichrazim/resultsDetailed.aspx?id=85187&amp;rc=332&amp;tr=1693" TargetMode="External"/><Relationship Id="rId549" Type="http://schemas.openxmlformats.org/officeDocument/2006/relationships/hyperlink" Target="http://www.land.gov.il/TozaotMichrazim/resultsDetailed.aspx?id=85304&amp;rc=449&amp;tr=1693" TargetMode="External"/><Relationship Id="rId756" Type="http://schemas.openxmlformats.org/officeDocument/2006/relationships/hyperlink" Target="http://www.land.gov.il/TozaotMichrazim/resultsDetailed.aspx?id=85567&amp;rc=712&amp;tr=1693" TargetMode="External"/><Relationship Id="rId1179" Type="http://schemas.openxmlformats.org/officeDocument/2006/relationships/hyperlink" Target="http://www.land.gov.il/TozaotMichrazim/resultsDetailed.aspx?id=83118&amp;rc=1217&amp;tr=1693" TargetMode="External"/><Relationship Id="rId1386" Type="http://schemas.openxmlformats.org/officeDocument/2006/relationships/hyperlink" Target="http://www.land.gov.il/TozaotMichrazim/resultsDetailed.aspx?id=76287&amp;rc=1439&amp;tr=1693" TargetMode="External"/><Relationship Id="rId1593" Type="http://schemas.openxmlformats.org/officeDocument/2006/relationships/hyperlink" Target="http://www.land.gov.il/TozaotMichrazim/resultsDetailed.aspx?id=86489&amp;rc=80&amp;tr=674" TargetMode="External"/><Relationship Id="rId2132" Type="http://schemas.openxmlformats.org/officeDocument/2006/relationships/hyperlink" Target="http://www.land.gov.il/IturTabot2/taba1.aspx?MisTochnit=%u05DC%u05D4/1100&amp;Ishuv=8500" TargetMode="External"/><Relationship Id="rId2437" Type="http://schemas.openxmlformats.org/officeDocument/2006/relationships/hyperlink" Target="http://www.land.gov.il/TozaotMichrazim/resultsDetailed.aspx?id=87320&amp;rc=413&amp;tr=424" TargetMode="External"/><Relationship Id="rId104" Type="http://schemas.openxmlformats.org/officeDocument/2006/relationships/hyperlink" Target="http://www.land.gov.il/TozaotMichrazim/resultsDetailed.aspx?id=84687&amp;rc=98&amp;tr=685" TargetMode="External"/><Relationship Id="rId311" Type="http://schemas.openxmlformats.org/officeDocument/2006/relationships/hyperlink" Target="http://www.land.gov.il/TozaotMichrazim/resultsDetailed.aspx?id=85037&amp;rc=182&amp;tr=1693" TargetMode="External"/><Relationship Id="rId409" Type="http://schemas.openxmlformats.org/officeDocument/2006/relationships/hyperlink" Target="http://www.land.gov.il/TozaotMichrazim/resultsDetailed.aspx?id=85143&amp;rc=288&amp;tr=1693" TargetMode="External"/><Relationship Id="rId963" Type="http://schemas.openxmlformats.org/officeDocument/2006/relationships/hyperlink" Target="http://www.land.gov.il/TozaotMichrazim/resultsDetailed.aspx?id=82859&amp;rc=958&amp;tr=1693" TargetMode="External"/><Relationship Id="rId1039" Type="http://schemas.openxmlformats.org/officeDocument/2006/relationships/hyperlink" Target="http://www.land.gov.il/TozaotMichrazim/resultsDetailed.aspx?id=82955&amp;rc=1054&amp;tr=1693" TargetMode="External"/><Relationship Id="rId1246" Type="http://schemas.openxmlformats.org/officeDocument/2006/relationships/hyperlink" Target="http://www.land.gov.il/TozaotMichrazim/resultsDetailed.aspx?id=79319&amp;rc=1299&amp;tr=1693" TargetMode="External"/><Relationship Id="rId1898" Type="http://schemas.openxmlformats.org/officeDocument/2006/relationships/hyperlink" Target="http://www.land.gov.il/TozaotMichrazim/resultsDetailed.aspx?id=79394&amp;rc=414&amp;tr=674" TargetMode="External"/><Relationship Id="rId2644" Type="http://schemas.openxmlformats.org/officeDocument/2006/relationships/control" Target="../activeX/activeX105.xml"/><Relationship Id="rId92" Type="http://schemas.openxmlformats.org/officeDocument/2006/relationships/hyperlink" Target="http://www.land.gov.il/TozaotMichrazim/resultsDetailed.aspx?id=84675&amp;rc=86&amp;tr=685" TargetMode="External"/><Relationship Id="rId616" Type="http://schemas.openxmlformats.org/officeDocument/2006/relationships/hyperlink" Target="http://www.land.gov.il/TozaotMichrazim/resultsDetailed.aspx?id=85391&amp;rc=536&amp;tr=1693" TargetMode="External"/><Relationship Id="rId823" Type="http://schemas.openxmlformats.org/officeDocument/2006/relationships/hyperlink" Target="http://www.land.gov.il/TozaotMichrazim/resultsDetailed.aspx?id=82705&amp;rc=804&amp;tr=1693" TargetMode="External"/><Relationship Id="rId1453" Type="http://schemas.openxmlformats.org/officeDocument/2006/relationships/hyperlink" Target="http://www.land.gov.il/TozaotMichrazim/resultsDetailed.aspx?id=86274&amp;rc=42&amp;tr=421" TargetMode="External"/><Relationship Id="rId1660" Type="http://schemas.openxmlformats.org/officeDocument/2006/relationships/hyperlink" Target="http://www.land.gov.il/TozaotMichrazim/resultsDetailed.aspx?id=86208&amp;rc=147&amp;tr=674" TargetMode="External"/><Relationship Id="rId1758" Type="http://schemas.openxmlformats.org/officeDocument/2006/relationships/hyperlink" Target="http://www.land.gov.il/TozaotMichrazim/resultsDetailed.aspx?id=81338&amp;rc=271&amp;tr=674" TargetMode="External"/><Relationship Id="rId2504" Type="http://schemas.openxmlformats.org/officeDocument/2006/relationships/hyperlink" Target="http://www.land.gov.il/TozaotMichrazim/resultsDetailed.aspx?id=70942&amp;rc=56&amp;tr=87" TargetMode="External"/><Relationship Id="rId2711" Type="http://schemas.openxmlformats.org/officeDocument/2006/relationships/control" Target="../activeX/activeX172.xml"/><Relationship Id="rId2809" Type="http://schemas.openxmlformats.org/officeDocument/2006/relationships/control" Target="../activeX/activeX270.xml"/><Relationship Id="rId1106" Type="http://schemas.openxmlformats.org/officeDocument/2006/relationships/hyperlink" Target="http://www.land.gov.il/TozaotMichrazim/resultsDetailed.aspx?id=83036&amp;rc=1135&amp;tr=1693" TargetMode="External"/><Relationship Id="rId1313" Type="http://schemas.openxmlformats.org/officeDocument/2006/relationships/hyperlink" Target="http://www.land.gov.il/TozaotMichrazim/resultsDetailed.aspx?id=78031&amp;rc=1366&amp;tr=1693" TargetMode="External"/><Relationship Id="rId1520" Type="http://schemas.openxmlformats.org/officeDocument/2006/relationships/hyperlink" Target="http://www.land.gov.il/TozaotMichrazim/resultsDetailed.aspx?id=86416&amp;rc=7&amp;tr=674" TargetMode="External"/><Relationship Id="rId1965" Type="http://schemas.openxmlformats.org/officeDocument/2006/relationships/hyperlink" Target="http://www.land.gov.il/TozaotMichrazim/resultsDetailed.aspx?id=76999&amp;rc=501&amp;tr=674" TargetMode="External"/><Relationship Id="rId1618" Type="http://schemas.openxmlformats.org/officeDocument/2006/relationships/hyperlink" Target="http://www.land.gov.il/TozaotMichrazim/resultsDetailed.aspx?id=86514&amp;rc=105&amp;tr=674" TargetMode="External"/><Relationship Id="rId1825" Type="http://schemas.openxmlformats.org/officeDocument/2006/relationships/hyperlink" Target="http://www.land.gov.il/TozaotMichrazim/resultsDetailed.aspx?id=81408&amp;rc=341&amp;tr=674" TargetMode="External"/><Relationship Id="rId199" Type="http://schemas.openxmlformats.org/officeDocument/2006/relationships/hyperlink" Target="http://www.land.gov.il/TozaotMichrazim/resultsDetailed.aspx?id=84920&amp;rc=65&amp;tr=1693" TargetMode="External"/><Relationship Id="rId2087" Type="http://schemas.openxmlformats.org/officeDocument/2006/relationships/hyperlink" Target="http://www.land.gov.il/TozaotMichrazim/resultsDetailed.aspx?id=86676&amp;rc=1&amp;tr=100" TargetMode="External"/><Relationship Id="rId2294" Type="http://schemas.openxmlformats.org/officeDocument/2006/relationships/hyperlink" Target="http://www.land.gov.il/TozaotMichrazim/resultsDetailed.aspx?id=87663&amp;rc=241&amp;tr=424" TargetMode="External"/><Relationship Id="rId266" Type="http://schemas.openxmlformats.org/officeDocument/2006/relationships/hyperlink" Target="http://www.land.gov.il/TozaotMichrazim/resultsDetailed.aspx?id=84992&amp;rc=137&amp;tr=1693" TargetMode="External"/><Relationship Id="rId473" Type="http://schemas.openxmlformats.org/officeDocument/2006/relationships/hyperlink" Target="http://www.land.gov.il/TozaotMichrazim/resultsDetailed.aspx?id=85209&amp;rc=354&amp;tr=1693" TargetMode="External"/><Relationship Id="rId680" Type="http://schemas.openxmlformats.org/officeDocument/2006/relationships/hyperlink" Target="http://www.land.gov.il/TozaotMichrazim/resultsDetailed.aspx?id=85466&amp;rc=611&amp;tr=1693" TargetMode="External"/><Relationship Id="rId2154" Type="http://schemas.openxmlformats.org/officeDocument/2006/relationships/hyperlink" Target="http://www.land.gov.il/PirsumMichrazim/Aspx/pirsumDetails.aspx?id=%20%2082017%E9%ED&amp;rc=1&amp;tr=4" TargetMode="External"/><Relationship Id="rId2361" Type="http://schemas.openxmlformats.org/officeDocument/2006/relationships/hyperlink" Target="http://www.land.gov.il/TozaotMichrazim/resultsDetailed.aspx?id=87730&amp;rc=308&amp;tr=424" TargetMode="External"/><Relationship Id="rId2599" Type="http://schemas.openxmlformats.org/officeDocument/2006/relationships/control" Target="../activeX/activeX60.xml"/><Relationship Id="rId126" Type="http://schemas.openxmlformats.org/officeDocument/2006/relationships/hyperlink" Target="http://www.land.gov.il/TozaotMichrazim/resultsDetailed.aspx?id=80643&amp;rc=122&amp;tr=685" TargetMode="External"/><Relationship Id="rId333" Type="http://schemas.openxmlformats.org/officeDocument/2006/relationships/hyperlink" Target="http://www.land.gov.il/TozaotMichrazim/resultsDetailed.aspx?id=85059&amp;rc=204&amp;tr=1693" TargetMode="External"/><Relationship Id="rId540" Type="http://schemas.openxmlformats.org/officeDocument/2006/relationships/hyperlink" Target="http://www.land.gov.il/TozaotMichrazim/resultsDetailed.aspx?id=85294&amp;rc=439&amp;tr=1693" TargetMode="External"/><Relationship Id="rId778" Type="http://schemas.openxmlformats.org/officeDocument/2006/relationships/hyperlink" Target="http://www.land.gov.il/TozaotMichrazim/resultsDetailed.aspx?id=82640&amp;rc=739&amp;tr=1693" TargetMode="External"/><Relationship Id="rId985" Type="http://schemas.openxmlformats.org/officeDocument/2006/relationships/hyperlink" Target="http://www.land.gov.il/TozaotMichrazim/resultsDetailed.aspx?id=82891&amp;rc=990&amp;tr=1693" TargetMode="External"/><Relationship Id="rId1170" Type="http://schemas.openxmlformats.org/officeDocument/2006/relationships/hyperlink" Target="http://www.land.gov.il/TozaotMichrazim/resultsDetailed.aspx?id=83109&amp;rc=1208&amp;tr=1693" TargetMode="External"/><Relationship Id="rId2014" Type="http://schemas.openxmlformats.org/officeDocument/2006/relationships/hyperlink" Target="http://www.land.gov.il/TozaotMichrazim/resultsDetailed.aspx?id=81176&amp;rc=40&amp;tr=440" TargetMode="External"/><Relationship Id="rId2221" Type="http://schemas.openxmlformats.org/officeDocument/2006/relationships/hyperlink" Target="http://www.land.gov.il/PirsumMichrazim/Aspx/pirsumDetails.aspx?id=2722015%E7%E9&amp;rc=3&amp;tr=49" TargetMode="External"/><Relationship Id="rId2459" Type="http://schemas.openxmlformats.org/officeDocument/2006/relationships/hyperlink" Target="http://www.land.gov.il/TozaotMichrazim/resultsDetailed.aspx?id=85583&amp;rc=11&amp;tr=87" TargetMode="External"/><Relationship Id="rId2666" Type="http://schemas.openxmlformats.org/officeDocument/2006/relationships/control" Target="../activeX/activeX127.xml"/><Relationship Id="rId638" Type="http://schemas.openxmlformats.org/officeDocument/2006/relationships/hyperlink" Target="http://www.land.gov.il/TozaotMichrazim/resultsDetailed.aspx?id=85417&amp;rc=562&amp;tr=1693" TargetMode="External"/><Relationship Id="rId845" Type="http://schemas.openxmlformats.org/officeDocument/2006/relationships/hyperlink" Target="http://www.land.gov.il/TozaotMichrazim/resultsDetailed.aspx?id=82732&amp;rc=831&amp;tr=1693" TargetMode="External"/><Relationship Id="rId1030" Type="http://schemas.openxmlformats.org/officeDocument/2006/relationships/hyperlink" Target="http://www.land.gov.il/TozaotMichrazim/resultsDetailed.aspx?id=82942&amp;rc=1041&amp;tr=1693" TargetMode="External"/><Relationship Id="rId1268" Type="http://schemas.openxmlformats.org/officeDocument/2006/relationships/hyperlink" Target="http://www.land.gov.il/TozaotMichrazim/resultsDetailed.aspx?id=79341&amp;rc=1321&amp;tr=1693" TargetMode="External"/><Relationship Id="rId1475" Type="http://schemas.openxmlformats.org/officeDocument/2006/relationships/hyperlink" Target="http://www.land.gov.il/TozaotMichrazim/resultsDetailed.aspx?id=80861&amp;rc=66&amp;tr=421" TargetMode="External"/><Relationship Id="rId1682" Type="http://schemas.openxmlformats.org/officeDocument/2006/relationships/hyperlink" Target="http://www.land.gov.il/TozaotMichrazim/resultsDetailed.aspx?id=85604&amp;rc=174&amp;tr=674" TargetMode="External"/><Relationship Id="rId2319" Type="http://schemas.openxmlformats.org/officeDocument/2006/relationships/hyperlink" Target="http://www.land.gov.il/TozaotMichrazim/resultsDetailed.aspx?id=87688&amp;rc=266&amp;tr=424" TargetMode="External"/><Relationship Id="rId2526" Type="http://schemas.openxmlformats.org/officeDocument/2006/relationships/hyperlink" Target="http://www.land.gov.il/TozaotMichrazim/resultsDetailed.aspx?id=66268&amp;rc=78&amp;tr=87" TargetMode="External"/><Relationship Id="rId2733" Type="http://schemas.openxmlformats.org/officeDocument/2006/relationships/control" Target="../activeX/activeX194.xml"/><Relationship Id="rId400" Type="http://schemas.openxmlformats.org/officeDocument/2006/relationships/hyperlink" Target="http://www.land.gov.il/TozaotMichrazim/resultsDetailed.aspx?id=85131&amp;rc=276&amp;tr=1693" TargetMode="External"/><Relationship Id="rId705" Type="http://schemas.openxmlformats.org/officeDocument/2006/relationships/hyperlink" Target="http://www.land.gov.il/TozaotMichrazim/resultsDetailed.aspx?id=85494&amp;rc=639&amp;tr=1693" TargetMode="External"/><Relationship Id="rId1128" Type="http://schemas.openxmlformats.org/officeDocument/2006/relationships/hyperlink" Target="http://www.land.gov.il/TozaotMichrazim/resultsDetailed.aspx?id=83059&amp;rc=1158&amp;tr=1693" TargetMode="External"/><Relationship Id="rId1335" Type="http://schemas.openxmlformats.org/officeDocument/2006/relationships/hyperlink" Target="http://www.land.gov.il/TozaotMichrazim/resultsDetailed.aspx?id=76236&amp;rc=1388&amp;tr=1693" TargetMode="External"/><Relationship Id="rId1542" Type="http://schemas.openxmlformats.org/officeDocument/2006/relationships/hyperlink" Target="http://www.land.gov.il/TozaotMichrazim/resultsDetailed.aspx?id=86438&amp;rc=29&amp;tr=674" TargetMode="External"/><Relationship Id="rId1987" Type="http://schemas.openxmlformats.org/officeDocument/2006/relationships/hyperlink" Target="http://www.land.gov.il/TozaotMichrazim/resultsDetailed.aspx?id=86728&amp;rc=8&amp;tr=440" TargetMode="External"/><Relationship Id="rId912" Type="http://schemas.openxmlformats.org/officeDocument/2006/relationships/hyperlink" Target="http://www.land.gov.il/TozaotMichrazim/resultsDetailed.aspx?id=82802&amp;rc=901&amp;tr=1693" TargetMode="External"/><Relationship Id="rId1847" Type="http://schemas.openxmlformats.org/officeDocument/2006/relationships/hyperlink" Target="http://www.land.gov.il/TozaotMichrazim/resultsDetailed.aspx?id=79927&amp;rc=363&amp;tr=674" TargetMode="External"/><Relationship Id="rId2800" Type="http://schemas.openxmlformats.org/officeDocument/2006/relationships/control" Target="../activeX/activeX261.xml"/><Relationship Id="rId41" Type="http://schemas.openxmlformats.org/officeDocument/2006/relationships/hyperlink" Target="http://www.land.gov.il/TozaotMichrazim/resultsDetailed.aspx?id=84624&amp;rc=35&amp;tr=685" TargetMode="External"/><Relationship Id="rId1402" Type="http://schemas.openxmlformats.org/officeDocument/2006/relationships/hyperlink" Target="http://www.land.gov.il/TozaotMichrazim/resultsDetailed.aspx?id=81495&amp;rc=20&amp;tr=79" TargetMode="External"/><Relationship Id="rId1707" Type="http://schemas.openxmlformats.org/officeDocument/2006/relationships/hyperlink" Target="http://www.land.gov.il/TozaotMichrazim/resultsDetailed.aspx?id=81284&amp;rc=217&amp;tr=674" TargetMode="External"/><Relationship Id="rId190" Type="http://schemas.openxmlformats.org/officeDocument/2006/relationships/hyperlink" Target="http://www.land.gov.il/TozaotMichrazim/resultsDetailed.aspx?id=84911&amp;rc=56&amp;tr=1693" TargetMode="External"/><Relationship Id="rId288" Type="http://schemas.openxmlformats.org/officeDocument/2006/relationships/hyperlink" Target="http://www.land.gov.il/TozaotMichrazim/resultsDetailed.aspx?id=85014&amp;rc=159&amp;tr=1693" TargetMode="External"/><Relationship Id="rId1914" Type="http://schemas.openxmlformats.org/officeDocument/2006/relationships/hyperlink" Target="http://www.land.gov.il/TozaotMichrazim/resultsDetailed.aspx?id=76931&amp;rc=433&amp;tr=674" TargetMode="External"/><Relationship Id="rId495" Type="http://schemas.openxmlformats.org/officeDocument/2006/relationships/hyperlink" Target="http://www.land.gov.il/TozaotMichrazim/resultsDetailed.aspx?id=85233&amp;rc=378&amp;tr=1693" TargetMode="External"/><Relationship Id="rId2176" Type="http://schemas.openxmlformats.org/officeDocument/2006/relationships/hyperlink" Target="http://www.land.gov.il/PirsumMichrazim/Aspx/pirsumDetails.aspx?id=2792016%E9%ED&amp;rc=3&amp;tr=4" TargetMode="External"/><Relationship Id="rId2383" Type="http://schemas.openxmlformats.org/officeDocument/2006/relationships/hyperlink" Target="http://www.land.gov.il/TozaotMichrazim/resultsDetailed.aspx?id=87288&amp;rc=334&amp;tr=424" TargetMode="External"/><Relationship Id="rId2590" Type="http://schemas.openxmlformats.org/officeDocument/2006/relationships/control" Target="../activeX/activeX51.xml"/><Relationship Id="rId148" Type="http://schemas.openxmlformats.org/officeDocument/2006/relationships/hyperlink" Target="http://www.land.gov.il/TozaotMichrazim/resultsDetailed.aspx?id=76563&amp;rc=150&amp;tr=685" TargetMode="External"/><Relationship Id="rId355" Type="http://schemas.openxmlformats.org/officeDocument/2006/relationships/hyperlink" Target="http://www.land.gov.il/TozaotMichrazim/resultsDetailed.aspx?id=85081&amp;rc=226&amp;tr=1693" TargetMode="External"/><Relationship Id="rId562" Type="http://schemas.openxmlformats.org/officeDocument/2006/relationships/hyperlink" Target="http://www.land.gov.il/TozaotMichrazim/resultsDetailed.aspx?id=85319&amp;rc=464&amp;tr=1693" TargetMode="External"/><Relationship Id="rId1192" Type="http://schemas.openxmlformats.org/officeDocument/2006/relationships/hyperlink" Target="http://www.land.gov.il/TozaotMichrazim/resultsDetailed.aspx?id=83132&amp;rc=1231&amp;tr=1693" TargetMode="External"/><Relationship Id="rId2036" Type="http://schemas.openxmlformats.org/officeDocument/2006/relationships/hyperlink" Target="http://www.land.gov.il/TozaotMichrazim/resultsDetailed.aspx?id=79137&amp;rc=62&amp;tr=440" TargetMode="External"/><Relationship Id="rId2243" Type="http://schemas.openxmlformats.org/officeDocument/2006/relationships/hyperlink" Target="http://www.land.gov.il/TozaotMichrazim/resultsDetailed.aspx?id=87847&amp;rc=27&amp;tr=424" TargetMode="External"/><Relationship Id="rId2450" Type="http://schemas.openxmlformats.org/officeDocument/2006/relationships/hyperlink" Target="http://www.land.gov.il/TozaotMichrazim/resultsDetailed.aspx?id=85574&amp;rc=2&amp;tr=87" TargetMode="External"/><Relationship Id="rId2688" Type="http://schemas.openxmlformats.org/officeDocument/2006/relationships/control" Target="../activeX/activeX149.xml"/><Relationship Id="rId215" Type="http://schemas.openxmlformats.org/officeDocument/2006/relationships/hyperlink" Target="http://www.land.gov.il/TozaotMichrazim/resultsDetailed.aspx?id=84936&amp;rc=81&amp;tr=1693" TargetMode="External"/><Relationship Id="rId422" Type="http://schemas.openxmlformats.org/officeDocument/2006/relationships/hyperlink" Target="http://www.land.gov.il/TozaotMichrazim/resultsDetailed.aspx?id=85158&amp;rc=303&amp;tr=1693" TargetMode="External"/><Relationship Id="rId867" Type="http://schemas.openxmlformats.org/officeDocument/2006/relationships/hyperlink" Target="http://www.land.gov.il/TozaotMichrazim/resultsDetailed.aspx?id=82755&amp;rc=854&amp;tr=1693" TargetMode="External"/><Relationship Id="rId1052" Type="http://schemas.openxmlformats.org/officeDocument/2006/relationships/hyperlink" Target="http://www.land.gov.il/TozaotMichrazim/resultsDetailed.aspx?id=82969&amp;rc=1068&amp;tr=1693" TargetMode="External"/><Relationship Id="rId1497" Type="http://schemas.openxmlformats.org/officeDocument/2006/relationships/hyperlink" Target="http://www.land.gov.il/TozaotMichrazim/resultsDetailed.aspx?id=80131&amp;rc=93&amp;tr=421" TargetMode="External"/><Relationship Id="rId2103" Type="http://schemas.openxmlformats.org/officeDocument/2006/relationships/hyperlink" Target="http://www.land.gov.il/TozaotMichrazim/resultsDetailed.aspx?id=79159&amp;rc=19&amp;tr=100" TargetMode="External"/><Relationship Id="rId2310" Type="http://schemas.openxmlformats.org/officeDocument/2006/relationships/hyperlink" Target="http://www.land.gov.il/TozaotMichrazim/resultsDetailed.aspx?id=87679&amp;rc=257&amp;tr=424" TargetMode="External"/><Relationship Id="rId2548" Type="http://schemas.openxmlformats.org/officeDocument/2006/relationships/control" Target="../activeX/activeX9.xml"/><Relationship Id="rId2755" Type="http://schemas.openxmlformats.org/officeDocument/2006/relationships/control" Target="../activeX/activeX216.xml"/><Relationship Id="rId727" Type="http://schemas.openxmlformats.org/officeDocument/2006/relationships/hyperlink" Target="http://www.land.gov.il/TozaotMichrazim/resultsDetailed.aspx?id=85520&amp;rc=665&amp;tr=1693" TargetMode="External"/><Relationship Id="rId934" Type="http://schemas.openxmlformats.org/officeDocument/2006/relationships/hyperlink" Target="http://www.land.gov.il/TozaotMichrazim/resultsDetailed.aspx?id=82826&amp;rc=925&amp;tr=1693" TargetMode="External"/><Relationship Id="rId1357" Type="http://schemas.openxmlformats.org/officeDocument/2006/relationships/hyperlink" Target="http://www.land.gov.il/TozaotMichrazim/resultsDetailed.aspx?id=76258&amp;rc=1410&amp;tr=1693" TargetMode="External"/><Relationship Id="rId1564" Type="http://schemas.openxmlformats.org/officeDocument/2006/relationships/hyperlink" Target="http://www.land.gov.il/TozaotMichrazim/resultsDetailed.aspx?id=86460&amp;rc=51&amp;tr=674" TargetMode="External"/><Relationship Id="rId1771" Type="http://schemas.openxmlformats.org/officeDocument/2006/relationships/hyperlink" Target="http://www.land.gov.il/TozaotMichrazim/resultsDetailed.aspx?id=81351&amp;rc=284&amp;tr=674" TargetMode="External"/><Relationship Id="rId2408" Type="http://schemas.openxmlformats.org/officeDocument/2006/relationships/hyperlink" Target="http://www.land.gov.il/TozaotMichrazim/resultsDetailed.aspx?id=87286&amp;rc=376&amp;tr=424" TargetMode="External"/><Relationship Id="rId2615" Type="http://schemas.openxmlformats.org/officeDocument/2006/relationships/control" Target="../activeX/activeX76.xml"/><Relationship Id="rId63" Type="http://schemas.openxmlformats.org/officeDocument/2006/relationships/hyperlink" Target="http://www.land.gov.il/TozaotMichrazim/resultsDetailed.aspx?id=84646&amp;rc=57&amp;tr=685" TargetMode="External"/><Relationship Id="rId1217" Type="http://schemas.openxmlformats.org/officeDocument/2006/relationships/hyperlink" Target="http://www.land.gov.il/TozaotMichrazim/resultsDetailed.aspx?id=83159&amp;rc=1258&amp;tr=1693" TargetMode="External"/><Relationship Id="rId1424" Type="http://schemas.openxmlformats.org/officeDocument/2006/relationships/hyperlink" Target="http://www.land.gov.il/TozaotMichrazim/resultsDetailed.aspx?id=87237&amp;rc=11&amp;tr=421" TargetMode="External"/><Relationship Id="rId1631" Type="http://schemas.openxmlformats.org/officeDocument/2006/relationships/hyperlink" Target="http://www.land.gov.il/TozaotMichrazim/resultsDetailed.aspx?id=86527&amp;rc=118&amp;tr=674" TargetMode="External"/><Relationship Id="rId1869" Type="http://schemas.openxmlformats.org/officeDocument/2006/relationships/hyperlink" Target="http://www.land.gov.il/TozaotMichrazim/resultsDetailed.aspx?id=79949&amp;rc=385&amp;tr=674" TargetMode="External"/><Relationship Id="rId1729" Type="http://schemas.openxmlformats.org/officeDocument/2006/relationships/hyperlink" Target="http://www.land.gov.il/TozaotMichrazim/resultsDetailed.aspx?id=81308&amp;rc=241&amp;tr=674" TargetMode="External"/><Relationship Id="rId1936" Type="http://schemas.openxmlformats.org/officeDocument/2006/relationships/hyperlink" Target="http://www.land.gov.il/TozaotMichrazim/resultsDetailed.aspx?id=76969&amp;rc=471&amp;tr=674" TargetMode="External"/><Relationship Id="rId2198" Type="http://schemas.openxmlformats.org/officeDocument/2006/relationships/hyperlink" Target="http://www.land.gov.il/PirsumMichrazim/Aspx/pirsumDetails.aspx?id=3112016%E9%ED&amp;rc=2&amp;tr=74" TargetMode="External"/><Relationship Id="rId377" Type="http://schemas.openxmlformats.org/officeDocument/2006/relationships/hyperlink" Target="http://www.land.gov.il/TozaotMichrazim/resultsDetailed.aspx?id=85103&amp;rc=248&amp;tr=1693" TargetMode="External"/><Relationship Id="rId584" Type="http://schemas.openxmlformats.org/officeDocument/2006/relationships/hyperlink" Target="http://www.land.gov.il/TozaotMichrazim/resultsDetailed.aspx?id=85343&amp;rc=488&amp;tr=1693" TargetMode="External"/><Relationship Id="rId2058" Type="http://schemas.openxmlformats.org/officeDocument/2006/relationships/hyperlink" Target="http://www.land.gov.il/TozaotMichrazim/resultsDetailed.aspx?id=83252&amp;rc=7&amp;tr=177" TargetMode="External"/><Relationship Id="rId2265" Type="http://schemas.openxmlformats.org/officeDocument/2006/relationships/hyperlink" Target="http://www.land.gov.il/TozaotMichrazim/resultsDetailed.aspx?id=87770&amp;rc=210&amp;tr=424" TargetMode="External"/><Relationship Id="rId5" Type="http://schemas.openxmlformats.org/officeDocument/2006/relationships/hyperlink" Target="http://mof.gov.il/Releases/Pages/gagoryehuda.aspx" TargetMode="External"/><Relationship Id="rId237" Type="http://schemas.openxmlformats.org/officeDocument/2006/relationships/hyperlink" Target="http://www.land.gov.il/TozaotMichrazim/resultsDetailed.aspx?id=84958&amp;rc=103&amp;tr=1693" TargetMode="External"/><Relationship Id="rId791" Type="http://schemas.openxmlformats.org/officeDocument/2006/relationships/hyperlink" Target="http://www.land.gov.il/TozaotMichrazim/resultsDetailed.aspx?id=82658&amp;rc=757&amp;tr=1693" TargetMode="External"/><Relationship Id="rId889" Type="http://schemas.openxmlformats.org/officeDocument/2006/relationships/hyperlink" Target="http://www.land.gov.il/TozaotMichrazim/resultsDetailed.aspx?id=82778&amp;rc=877&amp;tr=1693" TargetMode="External"/><Relationship Id="rId1074" Type="http://schemas.openxmlformats.org/officeDocument/2006/relationships/hyperlink" Target="http://www.land.gov.il/TozaotMichrazim/resultsDetailed.aspx?id=82998&amp;rc=1097&amp;tr=1693" TargetMode="External"/><Relationship Id="rId2472" Type="http://schemas.openxmlformats.org/officeDocument/2006/relationships/hyperlink" Target="http://www.land.gov.il/TozaotMichrazim/resultsDetailed.aspx?id=84839&amp;rc=24&amp;tr=87" TargetMode="External"/><Relationship Id="rId2777" Type="http://schemas.openxmlformats.org/officeDocument/2006/relationships/control" Target="../activeX/activeX238.xml"/><Relationship Id="rId444" Type="http://schemas.openxmlformats.org/officeDocument/2006/relationships/hyperlink" Target="http://www.land.gov.il/TozaotMichrazim/resultsDetailed.aspx?id=85180&amp;rc=325&amp;tr=1693" TargetMode="External"/><Relationship Id="rId651" Type="http://schemas.openxmlformats.org/officeDocument/2006/relationships/hyperlink" Target="http://www.land.gov.il/TozaotMichrazim/resultsDetailed.aspx?id=85433&amp;rc=578&amp;tr=1693" TargetMode="External"/><Relationship Id="rId749" Type="http://schemas.openxmlformats.org/officeDocument/2006/relationships/hyperlink" Target="http://www.land.gov.il/TozaotMichrazim/resultsDetailed.aspx?id=85558&amp;rc=703&amp;tr=1693" TargetMode="External"/><Relationship Id="rId1281" Type="http://schemas.openxmlformats.org/officeDocument/2006/relationships/hyperlink" Target="http://www.land.gov.il/TozaotMichrazim/resultsDetailed.aspx?id=79354&amp;rc=1334&amp;tr=1693" TargetMode="External"/><Relationship Id="rId1379" Type="http://schemas.openxmlformats.org/officeDocument/2006/relationships/hyperlink" Target="http://www.land.gov.il/TozaotMichrazim/resultsDetailed.aspx?id=76280&amp;rc=1432&amp;tr=1693" TargetMode="External"/><Relationship Id="rId1586" Type="http://schemas.openxmlformats.org/officeDocument/2006/relationships/hyperlink" Target="http://www.land.gov.il/TozaotMichrazim/resultsDetailed.aspx?id=86482&amp;rc=73&amp;tr=674" TargetMode="External"/><Relationship Id="rId2125" Type="http://schemas.openxmlformats.org/officeDocument/2006/relationships/hyperlink" Target="http://www.land.gov.il/PirsumMichrazim/Aspx/pirsumDetails.aspx?id=1012016%FA%E0&amp;rc=1&amp;tr=2" TargetMode="External"/><Relationship Id="rId2332" Type="http://schemas.openxmlformats.org/officeDocument/2006/relationships/hyperlink" Target="http://www.land.gov.il/TozaotMichrazim/resultsDetailed.aspx?id=87701&amp;rc=279&amp;tr=424" TargetMode="External"/><Relationship Id="rId304" Type="http://schemas.openxmlformats.org/officeDocument/2006/relationships/hyperlink" Target="http://www.land.gov.il/TozaotMichrazim/resultsDetailed.aspx?id=85030&amp;rc=175&amp;tr=1693" TargetMode="External"/><Relationship Id="rId511" Type="http://schemas.openxmlformats.org/officeDocument/2006/relationships/hyperlink" Target="http://www.land.gov.il/TozaotMichrazim/resultsDetailed.aspx?id=85260&amp;rc=405&amp;tr=1693" TargetMode="External"/><Relationship Id="rId609" Type="http://schemas.openxmlformats.org/officeDocument/2006/relationships/hyperlink" Target="http://www.land.gov.il/TozaotMichrazim/resultsDetailed.aspx?id=85383&amp;rc=528&amp;tr=1693" TargetMode="External"/><Relationship Id="rId956" Type="http://schemas.openxmlformats.org/officeDocument/2006/relationships/hyperlink" Target="http://www.land.gov.il/TozaotMichrazim/resultsDetailed.aspx?id=82852&amp;rc=951&amp;tr=1693" TargetMode="External"/><Relationship Id="rId1141" Type="http://schemas.openxmlformats.org/officeDocument/2006/relationships/hyperlink" Target="http://www.land.gov.il/TozaotMichrazim/resultsDetailed.aspx?id=83074&amp;rc=1173&amp;tr=1693" TargetMode="External"/><Relationship Id="rId1239" Type="http://schemas.openxmlformats.org/officeDocument/2006/relationships/hyperlink" Target="http://www.land.gov.il/TozaotMichrazim/resultsDetailed.aspx?id=80204&amp;rc=1291&amp;tr=1693" TargetMode="External"/><Relationship Id="rId1793" Type="http://schemas.openxmlformats.org/officeDocument/2006/relationships/hyperlink" Target="http://www.land.gov.il/TozaotMichrazim/resultsDetailed.aspx?id=81376&amp;rc=309&amp;tr=674" TargetMode="External"/><Relationship Id="rId2637" Type="http://schemas.openxmlformats.org/officeDocument/2006/relationships/control" Target="../activeX/activeX98.xml"/><Relationship Id="rId85" Type="http://schemas.openxmlformats.org/officeDocument/2006/relationships/hyperlink" Target="http://www.land.gov.il/TozaotMichrazim/resultsDetailed.aspx?id=84668&amp;rc=79&amp;tr=685" TargetMode="External"/><Relationship Id="rId816" Type="http://schemas.openxmlformats.org/officeDocument/2006/relationships/hyperlink" Target="http://www.land.gov.il/TozaotMichrazim/resultsDetailed.aspx?id=82691&amp;rc=790&amp;tr=1693" TargetMode="External"/><Relationship Id="rId1001" Type="http://schemas.openxmlformats.org/officeDocument/2006/relationships/hyperlink" Target="http://www.land.gov.il/TozaotMichrazim/resultsDetailed.aspx?id=82910&amp;rc=1009&amp;tr=1693" TargetMode="External"/><Relationship Id="rId1446" Type="http://schemas.openxmlformats.org/officeDocument/2006/relationships/hyperlink" Target="http://www.land.gov.il/TozaotMichrazim/resultsDetailed.aspx?id=86267&amp;rc=35&amp;tr=421" TargetMode="External"/><Relationship Id="rId1653" Type="http://schemas.openxmlformats.org/officeDocument/2006/relationships/hyperlink" Target="http://www.land.gov.il/TozaotMichrazim/resultsDetailed.aspx?id=86549&amp;rc=140&amp;tr=674" TargetMode="External"/><Relationship Id="rId1860" Type="http://schemas.openxmlformats.org/officeDocument/2006/relationships/hyperlink" Target="http://www.land.gov.il/TozaotMichrazim/resultsDetailed.aspx?id=79940&amp;rc=376&amp;tr=674" TargetMode="External"/><Relationship Id="rId2704" Type="http://schemas.openxmlformats.org/officeDocument/2006/relationships/control" Target="../activeX/activeX165.xml"/><Relationship Id="rId1306" Type="http://schemas.openxmlformats.org/officeDocument/2006/relationships/hyperlink" Target="http://www.land.gov.il/TozaotMichrazim/resultsDetailed.aspx?id=78782&amp;rc=1359&amp;tr=1693" TargetMode="External"/><Relationship Id="rId1513" Type="http://schemas.openxmlformats.org/officeDocument/2006/relationships/hyperlink" Target="http://www.land.gov.il/TozaotMichrazim/resultsDetailed.aspx?id=86280&amp;rc=4&amp;tr=679" TargetMode="External"/><Relationship Id="rId1720" Type="http://schemas.openxmlformats.org/officeDocument/2006/relationships/hyperlink" Target="http://www.land.gov.il/TozaotMichrazim/resultsDetailed.aspx?id=81299&amp;rc=232&amp;tr=674" TargetMode="External"/><Relationship Id="rId1958" Type="http://schemas.openxmlformats.org/officeDocument/2006/relationships/hyperlink" Target="http://www.land.gov.il/TozaotMichrazim/resultsDetailed.aspx?id=76992&amp;rc=494&amp;tr=674" TargetMode="External"/><Relationship Id="rId12" Type="http://schemas.openxmlformats.org/officeDocument/2006/relationships/hyperlink" Target="http://www.land.gov.il/TozaotMichrazim/resultsDetailed.aspx?id=84734&amp;rc=6&amp;tr=685" TargetMode="External"/><Relationship Id="rId1818" Type="http://schemas.openxmlformats.org/officeDocument/2006/relationships/hyperlink" Target="http://www.land.gov.il/TozaotMichrazim/resultsDetailed.aspx?id=81401&amp;rc=334&amp;tr=674" TargetMode="External"/><Relationship Id="rId161" Type="http://schemas.openxmlformats.org/officeDocument/2006/relationships/hyperlink" Target="http://www.land.gov.il/TozaotMichrazim/resultsDetailed.aspx?id=86401&amp;rc=17&amp;tr=1693" TargetMode="External"/><Relationship Id="rId399" Type="http://schemas.openxmlformats.org/officeDocument/2006/relationships/hyperlink" Target="http://www.land.gov.il/TozaotMichrazim/resultsDetailed.aspx?id=85130&amp;rc=275&amp;tr=1693" TargetMode="External"/><Relationship Id="rId2287" Type="http://schemas.openxmlformats.org/officeDocument/2006/relationships/hyperlink" Target="http://www.land.gov.il/TozaotMichrazim/resultsDetailed.aspx?id=87656&amp;rc=234&amp;tr=424" TargetMode="External"/><Relationship Id="rId2494" Type="http://schemas.openxmlformats.org/officeDocument/2006/relationships/hyperlink" Target="http://www.land.gov.il/TozaotMichrazim/resultsDetailed.aspx?id=71521&amp;rc=46&amp;tr=87" TargetMode="External"/><Relationship Id="rId259" Type="http://schemas.openxmlformats.org/officeDocument/2006/relationships/hyperlink" Target="http://www.land.gov.il/TozaotMichrazim/resultsDetailed.aspx?id=84985&amp;rc=130&amp;tr=1693" TargetMode="External"/><Relationship Id="rId466" Type="http://schemas.openxmlformats.org/officeDocument/2006/relationships/hyperlink" Target="http://www.land.gov.il/TozaotMichrazim/resultsDetailed.aspx?id=85202&amp;rc=347&amp;tr=1693" TargetMode="External"/><Relationship Id="rId673" Type="http://schemas.openxmlformats.org/officeDocument/2006/relationships/hyperlink" Target="http://www.land.gov.il/TozaotMichrazim/resultsDetailed.aspx?id=85459&amp;rc=604&amp;tr=1693" TargetMode="External"/><Relationship Id="rId880" Type="http://schemas.openxmlformats.org/officeDocument/2006/relationships/hyperlink" Target="http://www.land.gov.il/TozaotMichrazim/resultsDetailed.aspx?id=82769&amp;rc=868&amp;tr=1693" TargetMode="External"/><Relationship Id="rId1096" Type="http://schemas.openxmlformats.org/officeDocument/2006/relationships/hyperlink" Target="http://www.land.gov.il/TozaotMichrazim/resultsDetailed.aspx?id=83024&amp;rc=1123&amp;tr=1693" TargetMode="External"/><Relationship Id="rId2147" Type="http://schemas.openxmlformats.org/officeDocument/2006/relationships/hyperlink" Target="http://www.land.gov.il/shivukweb/pages/prj_amatmaim.html" TargetMode="External"/><Relationship Id="rId2354" Type="http://schemas.openxmlformats.org/officeDocument/2006/relationships/hyperlink" Target="http://www.land.gov.il/TozaotMichrazim/resultsDetailed.aspx?id=87723&amp;rc=301&amp;tr=424" TargetMode="External"/><Relationship Id="rId2561" Type="http://schemas.openxmlformats.org/officeDocument/2006/relationships/control" Target="../activeX/activeX22.xml"/><Relationship Id="rId2799" Type="http://schemas.openxmlformats.org/officeDocument/2006/relationships/control" Target="../activeX/activeX260.xml"/><Relationship Id="rId119" Type="http://schemas.openxmlformats.org/officeDocument/2006/relationships/hyperlink" Target="http://www.land.gov.il/TozaotMichrazim/resultsDetailed.aspx?id=81803&amp;rc=113&amp;tr=685" TargetMode="External"/><Relationship Id="rId326" Type="http://schemas.openxmlformats.org/officeDocument/2006/relationships/hyperlink" Target="http://www.land.gov.il/TozaotMichrazim/resultsDetailed.aspx?id=85052&amp;rc=197&amp;tr=1693" TargetMode="External"/><Relationship Id="rId533" Type="http://schemas.openxmlformats.org/officeDocument/2006/relationships/hyperlink" Target="http://www.land.gov.il/TozaotMichrazim/resultsDetailed.aspx?id=85285&amp;rc=430&amp;tr=1693" TargetMode="External"/><Relationship Id="rId978" Type="http://schemas.openxmlformats.org/officeDocument/2006/relationships/hyperlink" Target="http://www.land.gov.il/TozaotMichrazim/resultsDetailed.aspx?id=82881&amp;rc=980&amp;tr=1693" TargetMode="External"/><Relationship Id="rId1163" Type="http://schemas.openxmlformats.org/officeDocument/2006/relationships/hyperlink" Target="http://www.land.gov.il/TozaotMichrazim/resultsDetailed.aspx?id=83100&amp;rc=1199&amp;tr=1693" TargetMode="External"/><Relationship Id="rId1370" Type="http://schemas.openxmlformats.org/officeDocument/2006/relationships/hyperlink" Target="http://www.land.gov.il/TozaotMichrazim/resultsDetailed.aspx?id=76271&amp;rc=1423&amp;tr=1693" TargetMode="External"/><Relationship Id="rId2007" Type="http://schemas.openxmlformats.org/officeDocument/2006/relationships/hyperlink" Target="http://www.land.gov.il/TozaotMichrazim/resultsDetailed.aspx?id=83634&amp;rc=31&amp;tr=440" TargetMode="External"/><Relationship Id="rId2214" Type="http://schemas.openxmlformats.org/officeDocument/2006/relationships/hyperlink" Target="http://www.land.gov.il/TozaotMichrazim/Results.aspx?NewSearch=true&amp;ynmichraz=2014&amp;anMichraz=%e7%e9&amp;Nnmichraz=340" TargetMode="External"/><Relationship Id="rId2659" Type="http://schemas.openxmlformats.org/officeDocument/2006/relationships/control" Target="../activeX/activeX120.xml"/><Relationship Id="rId740" Type="http://schemas.openxmlformats.org/officeDocument/2006/relationships/hyperlink" Target="http://www.land.gov.il/TozaotMichrazim/resultsDetailed.aspx?id=85545&amp;rc=690&amp;tr=1693" TargetMode="External"/><Relationship Id="rId838" Type="http://schemas.openxmlformats.org/officeDocument/2006/relationships/hyperlink" Target="http://www.land.gov.il/TozaotMichrazim/resultsDetailed.aspx?id=82724&amp;rc=823&amp;tr=1693" TargetMode="External"/><Relationship Id="rId1023" Type="http://schemas.openxmlformats.org/officeDocument/2006/relationships/hyperlink" Target="http://www.land.gov.il/TozaotMichrazim/resultsDetailed.aspx?id=82935&amp;rc=1034&amp;tr=1693" TargetMode="External"/><Relationship Id="rId1468" Type="http://schemas.openxmlformats.org/officeDocument/2006/relationships/hyperlink" Target="http://www.land.gov.il/TozaotMichrazim/resultsDetailed.aspx?id=81688&amp;rc=57&amp;tr=421" TargetMode="External"/><Relationship Id="rId1675" Type="http://schemas.openxmlformats.org/officeDocument/2006/relationships/hyperlink" Target="http://www.land.gov.il/TozaotMichrazim/resultsDetailed.aspx?id=84703&amp;rc=165&amp;tr=674" TargetMode="External"/><Relationship Id="rId1882" Type="http://schemas.openxmlformats.org/officeDocument/2006/relationships/hyperlink" Target="http://www.land.gov.il/TozaotMichrazim/resultsDetailed.aspx?id=79962&amp;rc=398&amp;tr=674" TargetMode="External"/><Relationship Id="rId2421" Type="http://schemas.openxmlformats.org/officeDocument/2006/relationships/hyperlink" Target="http://www.land.gov.il/TozaotMichrazim/resultsDetailed.aspx?id=87345&amp;rc=389&amp;tr=424" TargetMode="External"/><Relationship Id="rId2519" Type="http://schemas.openxmlformats.org/officeDocument/2006/relationships/hyperlink" Target="http://www.land.gov.il/TozaotMichrazim/resultsDetailed.aspx?id=71359&amp;rc=71&amp;tr=87" TargetMode="External"/><Relationship Id="rId2726" Type="http://schemas.openxmlformats.org/officeDocument/2006/relationships/control" Target="../activeX/activeX187.xml"/><Relationship Id="rId600" Type="http://schemas.openxmlformats.org/officeDocument/2006/relationships/hyperlink" Target="http://www.land.gov.il/TozaotMichrazim/resultsDetailed.aspx?id=85370&amp;rc=515&amp;tr=1693" TargetMode="External"/><Relationship Id="rId1230" Type="http://schemas.openxmlformats.org/officeDocument/2006/relationships/hyperlink" Target="http://www.land.gov.il/TozaotMichrazim/resultsDetailed.aspx?id=83182&amp;rc=1281&amp;tr=1693" TargetMode="External"/><Relationship Id="rId1328" Type="http://schemas.openxmlformats.org/officeDocument/2006/relationships/hyperlink" Target="http://www.land.gov.il/TozaotMichrazim/resultsDetailed.aspx?id=76229&amp;rc=1381&amp;tr=1693" TargetMode="External"/><Relationship Id="rId1535" Type="http://schemas.openxmlformats.org/officeDocument/2006/relationships/hyperlink" Target="http://www.land.gov.il/TozaotMichrazim/resultsDetailed.aspx?id=86431&amp;rc=22&amp;tr=674" TargetMode="External"/><Relationship Id="rId905" Type="http://schemas.openxmlformats.org/officeDocument/2006/relationships/hyperlink" Target="http://www.land.gov.il/TozaotMichrazim/resultsDetailed.aspx?id=82795&amp;rc=894&amp;tr=1693" TargetMode="External"/><Relationship Id="rId1742" Type="http://schemas.openxmlformats.org/officeDocument/2006/relationships/hyperlink" Target="http://www.land.gov.il/TozaotMichrazim/resultsDetailed.aspx?id=81322&amp;rc=255&amp;tr=674" TargetMode="External"/><Relationship Id="rId34" Type="http://schemas.openxmlformats.org/officeDocument/2006/relationships/hyperlink" Target="http://www.land.gov.il/TozaotMichrazim/resultsDetailed.aspx?id=84617&amp;rc=28&amp;tr=685" TargetMode="External"/><Relationship Id="rId1602" Type="http://schemas.openxmlformats.org/officeDocument/2006/relationships/hyperlink" Target="http://www.land.gov.il/TozaotMichrazim/resultsDetailed.aspx?id=86498&amp;rc=89&amp;tr=674" TargetMode="External"/><Relationship Id="rId183" Type="http://schemas.openxmlformats.org/officeDocument/2006/relationships/hyperlink" Target="http://www.land.gov.il/TozaotMichrazim/resultsDetailed.aspx?id=84903&amp;rc=48&amp;tr=1693" TargetMode="External"/><Relationship Id="rId390" Type="http://schemas.openxmlformats.org/officeDocument/2006/relationships/hyperlink" Target="http://www.land.gov.il/TozaotMichrazim/resultsDetailed.aspx?id=85117&amp;rc=262&amp;tr=1693" TargetMode="External"/><Relationship Id="rId1907" Type="http://schemas.openxmlformats.org/officeDocument/2006/relationships/hyperlink" Target="http://www.land.gov.il/TozaotMichrazim/resultsDetailed.aspx?id=79370&amp;rc=423&amp;tr=674" TargetMode="External"/><Relationship Id="rId2071" Type="http://schemas.openxmlformats.org/officeDocument/2006/relationships/hyperlink" Target="http://www.land.gov.il/TozaotMichrazim/resultsDetailed.aspx?id=87052&amp;rc=12&amp;tr=115" TargetMode="External"/><Relationship Id="rId250" Type="http://schemas.openxmlformats.org/officeDocument/2006/relationships/hyperlink" Target="http://www.land.gov.il/TozaotMichrazim/resultsDetailed.aspx?id=84975&amp;rc=120&amp;tr=1693" TargetMode="External"/><Relationship Id="rId488" Type="http://schemas.openxmlformats.org/officeDocument/2006/relationships/hyperlink" Target="http://www.land.gov.il/TozaotMichrazim/resultsDetailed.aspx?id=85225&amp;rc=370&amp;tr=1693" TargetMode="External"/><Relationship Id="rId695" Type="http://schemas.openxmlformats.org/officeDocument/2006/relationships/hyperlink" Target="http://www.land.gov.il/TozaotMichrazim/resultsDetailed.aspx?id=85482&amp;rc=627&amp;tr=1693" TargetMode="External"/><Relationship Id="rId2169" Type="http://schemas.openxmlformats.org/officeDocument/2006/relationships/hyperlink" Target="http://www.land.gov.il/PirsumMichrazim/Aspx/pirsumDetails.aspx?id=3752016%EE%F8&amp;rc=3&amp;tr=5" TargetMode="External"/><Relationship Id="rId2376" Type="http://schemas.openxmlformats.org/officeDocument/2006/relationships/hyperlink" Target="http://www.land.gov.il/TozaotMichrazim/resultsDetailed.aspx?id=87745&amp;rc=323&amp;tr=424" TargetMode="External"/><Relationship Id="rId2583" Type="http://schemas.openxmlformats.org/officeDocument/2006/relationships/control" Target="../activeX/activeX44.xml"/><Relationship Id="rId2790" Type="http://schemas.openxmlformats.org/officeDocument/2006/relationships/control" Target="../activeX/activeX251.xml"/><Relationship Id="rId110" Type="http://schemas.openxmlformats.org/officeDocument/2006/relationships/hyperlink" Target="http://www.land.gov.il/TozaotMichrazim/resultsDetailed.aspx?id=81794&amp;rc=104&amp;tr=685" TargetMode="External"/><Relationship Id="rId348" Type="http://schemas.openxmlformats.org/officeDocument/2006/relationships/hyperlink" Target="http://www.land.gov.il/TozaotMichrazim/resultsDetailed.aspx?id=85074&amp;rc=219&amp;tr=1693" TargetMode="External"/><Relationship Id="rId555" Type="http://schemas.openxmlformats.org/officeDocument/2006/relationships/hyperlink" Target="http://www.land.gov.il/TozaotMichrazim/resultsDetailed.aspx?id=85310&amp;rc=455&amp;tr=1693" TargetMode="External"/><Relationship Id="rId762" Type="http://schemas.openxmlformats.org/officeDocument/2006/relationships/hyperlink" Target="http://www.land.gov.il/TozaotMichrazim/resultsDetailed.aspx?id=84814&amp;rc=718&amp;tr=1693" TargetMode="External"/><Relationship Id="rId1185" Type="http://schemas.openxmlformats.org/officeDocument/2006/relationships/hyperlink" Target="http://www.land.gov.il/TozaotMichrazim/resultsDetailed.aspx?id=83124&amp;rc=1223&amp;tr=1693" TargetMode="External"/><Relationship Id="rId1392" Type="http://schemas.openxmlformats.org/officeDocument/2006/relationships/hyperlink" Target="http://www.land.gov.il/TozaotMichrazim/resultsDetailed.aspx?id=86040&amp;rc=1&amp;tr=79" TargetMode="External"/><Relationship Id="rId2029" Type="http://schemas.openxmlformats.org/officeDocument/2006/relationships/hyperlink" Target="http://www.land.gov.il/TozaotMichrazim/resultsDetailed.aspx?id=79130&amp;rc=55&amp;tr=440" TargetMode="External"/><Relationship Id="rId2236" Type="http://schemas.openxmlformats.org/officeDocument/2006/relationships/hyperlink" Target="http://www.land.gov.il/TozaotMichrazim/resultsDetailed.aspx?id=87840&amp;rc=20&amp;tr=424" TargetMode="External"/><Relationship Id="rId2443" Type="http://schemas.openxmlformats.org/officeDocument/2006/relationships/hyperlink" Target="http://www.land.gov.il/TozaotMichrazim/resultsDetailed.aspx?id=87326&amp;rc=419&amp;tr=424" TargetMode="External"/><Relationship Id="rId2650" Type="http://schemas.openxmlformats.org/officeDocument/2006/relationships/control" Target="../activeX/activeX111.xml"/><Relationship Id="rId208" Type="http://schemas.openxmlformats.org/officeDocument/2006/relationships/hyperlink" Target="http://www.land.gov.il/TozaotMichrazim/resultsDetailed.aspx?id=84929&amp;rc=74&amp;tr=1693" TargetMode="External"/><Relationship Id="rId415" Type="http://schemas.openxmlformats.org/officeDocument/2006/relationships/hyperlink" Target="http://www.land.gov.il/TozaotMichrazim/resultsDetailed.aspx?id=85151&amp;rc=296&amp;tr=1693" TargetMode="External"/><Relationship Id="rId622" Type="http://schemas.openxmlformats.org/officeDocument/2006/relationships/hyperlink" Target="http://www.land.gov.il/TozaotMichrazim/resultsDetailed.aspx?id=85397&amp;rc=542&amp;tr=1693" TargetMode="External"/><Relationship Id="rId1045" Type="http://schemas.openxmlformats.org/officeDocument/2006/relationships/hyperlink" Target="http://www.land.gov.il/TozaotMichrazim/resultsDetailed.aspx?id=82961&amp;rc=1060&amp;tr=1693" TargetMode="External"/><Relationship Id="rId1252" Type="http://schemas.openxmlformats.org/officeDocument/2006/relationships/hyperlink" Target="http://www.land.gov.il/TozaotMichrazim/resultsDetailed.aspx?id=79325&amp;rc=1305&amp;tr=1693" TargetMode="External"/><Relationship Id="rId1697" Type="http://schemas.openxmlformats.org/officeDocument/2006/relationships/hyperlink" Target="http://www.land.gov.il/TozaotMichrazim/resultsDetailed.aspx?id=81272&amp;rc=205&amp;tr=674" TargetMode="External"/><Relationship Id="rId2303" Type="http://schemas.openxmlformats.org/officeDocument/2006/relationships/hyperlink" Target="http://www.land.gov.il/TozaotMichrazim/resultsDetailed.aspx?id=87672&amp;rc=250&amp;tr=424" TargetMode="External"/><Relationship Id="rId2510" Type="http://schemas.openxmlformats.org/officeDocument/2006/relationships/hyperlink" Target="http://www.land.gov.il/TozaotMichrazim/resultsDetailed.aspx?id=71350&amp;rc=62&amp;tr=87" TargetMode="External"/><Relationship Id="rId2748" Type="http://schemas.openxmlformats.org/officeDocument/2006/relationships/control" Target="../activeX/activeX209.xml"/><Relationship Id="rId927" Type="http://schemas.openxmlformats.org/officeDocument/2006/relationships/hyperlink" Target="http://www.land.gov.il/TozaotMichrazim/resultsDetailed.aspx?id=82818&amp;rc=917&amp;tr=1693" TargetMode="External"/><Relationship Id="rId1112" Type="http://schemas.openxmlformats.org/officeDocument/2006/relationships/hyperlink" Target="http://www.land.gov.il/TozaotMichrazim/resultsDetailed.aspx?id=83042&amp;rc=1141&amp;tr=1693" TargetMode="External"/><Relationship Id="rId1557" Type="http://schemas.openxmlformats.org/officeDocument/2006/relationships/hyperlink" Target="http://www.land.gov.il/TozaotMichrazim/resultsDetailed.aspx?id=86453&amp;rc=44&amp;tr=674" TargetMode="External"/><Relationship Id="rId1764" Type="http://schemas.openxmlformats.org/officeDocument/2006/relationships/hyperlink" Target="http://www.land.gov.il/TozaotMichrazim/resultsDetailed.aspx?id=81344&amp;rc=277&amp;tr=674" TargetMode="External"/><Relationship Id="rId1971" Type="http://schemas.openxmlformats.org/officeDocument/2006/relationships/hyperlink" Target="http://www.land.gov.il/TozaotMichrazim/resultsDetailed.aspx?id=76551&amp;rc=508&amp;tr=674" TargetMode="External"/><Relationship Id="rId2608" Type="http://schemas.openxmlformats.org/officeDocument/2006/relationships/control" Target="../activeX/activeX69.xml"/><Relationship Id="rId56" Type="http://schemas.openxmlformats.org/officeDocument/2006/relationships/hyperlink" Target="http://www.land.gov.il/TozaotMichrazim/resultsDetailed.aspx?id=84639&amp;rc=50&amp;tr=685" TargetMode="External"/><Relationship Id="rId1417" Type="http://schemas.openxmlformats.org/officeDocument/2006/relationships/hyperlink" Target="http://www.land.gov.il/TozaotMichrazim/resultsDetailed.aspx?id=87230&amp;rc=4&amp;tr=421" TargetMode="External"/><Relationship Id="rId1624" Type="http://schemas.openxmlformats.org/officeDocument/2006/relationships/hyperlink" Target="http://www.land.gov.il/TozaotMichrazim/resultsDetailed.aspx?id=86520&amp;rc=111&amp;tr=674" TargetMode="External"/><Relationship Id="rId1831" Type="http://schemas.openxmlformats.org/officeDocument/2006/relationships/hyperlink" Target="http://www.land.gov.il/TozaotMichrazim/resultsDetailed.aspx?id=81414&amp;rc=347&amp;tr=674" TargetMode="External"/><Relationship Id="rId1929" Type="http://schemas.openxmlformats.org/officeDocument/2006/relationships/hyperlink" Target="http://www.land.gov.il/TozaotMichrazim/resultsDetailed.aspx?id=76958&amp;rc=460&amp;tr=674" TargetMode="External"/><Relationship Id="rId2093" Type="http://schemas.openxmlformats.org/officeDocument/2006/relationships/hyperlink" Target="http://www.land.gov.il/TozaotMichrazim/resultsDetailed.aspx?id=84825&amp;rc=9&amp;tr=100" TargetMode="External"/><Relationship Id="rId2398" Type="http://schemas.openxmlformats.org/officeDocument/2006/relationships/hyperlink" Target="http://www.land.gov.il/TozaotMichrazim/resultsDetailed.aspx?id=87303&amp;rc=349&amp;tr=424" TargetMode="External"/><Relationship Id="rId272" Type="http://schemas.openxmlformats.org/officeDocument/2006/relationships/hyperlink" Target="http://www.land.gov.il/TozaotMichrazim/resultsDetailed.aspx?id=84998&amp;rc=143&amp;tr=1693" TargetMode="External"/><Relationship Id="rId577" Type="http://schemas.openxmlformats.org/officeDocument/2006/relationships/hyperlink" Target="http://www.land.gov.il/TozaotMichrazim/resultsDetailed.aspx?id=85335&amp;rc=480&amp;tr=1693" TargetMode="External"/><Relationship Id="rId2160" Type="http://schemas.openxmlformats.org/officeDocument/2006/relationships/hyperlink" Target="http://www.land.gov.il/iturtabot2/taba2.aspx?tbMerchav=107&amp;tbMsTochnit=4/140/03/9" TargetMode="External"/><Relationship Id="rId2258" Type="http://schemas.openxmlformats.org/officeDocument/2006/relationships/hyperlink" Target="http://www.land.gov.il/TozaotMichrazim/resultsDetailed.aspx?id=87763&amp;rc=203&amp;tr=424" TargetMode="External"/><Relationship Id="rId132" Type="http://schemas.openxmlformats.org/officeDocument/2006/relationships/hyperlink" Target="http://www.land.gov.il/TozaotMichrazim/resultsDetailed.aspx?id=79113&amp;rc=131&amp;tr=685" TargetMode="External"/><Relationship Id="rId784" Type="http://schemas.openxmlformats.org/officeDocument/2006/relationships/hyperlink" Target="http://www.land.gov.il/TozaotMichrazim/resultsDetailed.aspx?id=82649&amp;rc=748&amp;tr=1693" TargetMode="External"/><Relationship Id="rId991" Type="http://schemas.openxmlformats.org/officeDocument/2006/relationships/hyperlink" Target="http://www.land.gov.il/TozaotMichrazim/resultsDetailed.aspx?id=82898&amp;rc=997&amp;tr=1693" TargetMode="External"/><Relationship Id="rId1067" Type="http://schemas.openxmlformats.org/officeDocument/2006/relationships/hyperlink" Target="http://www.land.gov.il/TozaotMichrazim/resultsDetailed.aspx?id=82989&amp;rc=1088&amp;tr=1693" TargetMode="External"/><Relationship Id="rId2020" Type="http://schemas.openxmlformats.org/officeDocument/2006/relationships/hyperlink" Target="http://www.land.gov.il/TozaotMichrazim/resultsDetailed.aspx?id=79121&amp;rc=46&amp;tr=440" TargetMode="External"/><Relationship Id="rId2465" Type="http://schemas.openxmlformats.org/officeDocument/2006/relationships/hyperlink" Target="http://www.land.gov.il/TozaotMichrazim/resultsDetailed.aspx?id=85589&amp;rc=17&amp;tr=87" TargetMode="External"/><Relationship Id="rId2672" Type="http://schemas.openxmlformats.org/officeDocument/2006/relationships/control" Target="../activeX/activeX133.xml"/><Relationship Id="rId437" Type="http://schemas.openxmlformats.org/officeDocument/2006/relationships/hyperlink" Target="http://www.land.gov.il/TozaotMichrazim/resultsDetailed.aspx?id=85173&amp;rc=318&amp;tr=1693" TargetMode="External"/><Relationship Id="rId644" Type="http://schemas.openxmlformats.org/officeDocument/2006/relationships/hyperlink" Target="http://www.land.gov.il/TozaotMichrazim/resultsDetailed.aspx?id=85426&amp;rc=571&amp;tr=1693" TargetMode="External"/><Relationship Id="rId851" Type="http://schemas.openxmlformats.org/officeDocument/2006/relationships/hyperlink" Target="http://www.land.gov.il/TozaotMichrazim/resultsDetailed.aspx?id=82738&amp;rc=837&amp;tr=1693" TargetMode="External"/><Relationship Id="rId1274" Type="http://schemas.openxmlformats.org/officeDocument/2006/relationships/hyperlink" Target="http://www.land.gov.il/TozaotMichrazim/resultsDetailed.aspx?id=79347&amp;rc=1327&amp;tr=1693" TargetMode="External"/><Relationship Id="rId1481" Type="http://schemas.openxmlformats.org/officeDocument/2006/relationships/hyperlink" Target="http://www.land.gov.il/TozaotMichrazim/resultsDetailed.aspx?id=80115&amp;rc=77&amp;tr=421" TargetMode="External"/><Relationship Id="rId1579" Type="http://schemas.openxmlformats.org/officeDocument/2006/relationships/hyperlink" Target="http://www.land.gov.il/TozaotMichrazim/resultsDetailed.aspx?id=86475&amp;rc=66&amp;tr=674" TargetMode="External"/><Relationship Id="rId2118" Type="http://schemas.openxmlformats.org/officeDocument/2006/relationships/hyperlink" Target="http://www.land.gov.il/PirsumMichrazim/Aspx/pirsumDetails.aspx?id=2292016%EE%F8&amp;rc=4&amp;tr=6" TargetMode="External"/><Relationship Id="rId2325" Type="http://schemas.openxmlformats.org/officeDocument/2006/relationships/hyperlink" Target="http://www.land.gov.il/TozaotMichrazim/resultsDetailed.aspx?id=87694&amp;rc=272&amp;tr=424" TargetMode="External"/><Relationship Id="rId2532" Type="http://schemas.openxmlformats.org/officeDocument/2006/relationships/hyperlink" Target="http://www.land.gov.il/TozaotMichrazim/resultsDetailed.aspx?id=55670&amp;rc=84&amp;tr=87" TargetMode="External"/><Relationship Id="rId504" Type="http://schemas.openxmlformats.org/officeDocument/2006/relationships/hyperlink" Target="http://www.land.gov.il/TozaotMichrazim/resultsDetailed.aspx?id=85251&amp;rc=396&amp;tr=1693" TargetMode="External"/><Relationship Id="rId711" Type="http://schemas.openxmlformats.org/officeDocument/2006/relationships/hyperlink" Target="http://www.land.gov.il/TozaotMichrazim/resultsDetailed.aspx?id=85503&amp;rc=648&amp;tr=1693" TargetMode="External"/><Relationship Id="rId949" Type="http://schemas.openxmlformats.org/officeDocument/2006/relationships/hyperlink" Target="http://www.land.gov.il/TozaotMichrazim/resultsDetailed.aspx?id=82843&amp;rc=942&amp;tr=1693" TargetMode="External"/><Relationship Id="rId1134" Type="http://schemas.openxmlformats.org/officeDocument/2006/relationships/hyperlink" Target="http://www.land.gov.il/TozaotMichrazim/resultsDetailed.aspx?id=83065&amp;rc=1164&amp;tr=1693" TargetMode="External"/><Relationship Id="rId1341" Type="http://schemas.openxmlformats.org/officeDocument/2006/relationships/hyperlink" Target="http://www.land.gov.il/TozaotMichrazim/resultsDetailed.aspx?id=76242&amp;rc=1394&amp;tr=1693" TargetMode="External"/><Relationship Id="rId1786" Type="http://schemas.openxmlformats.org/officeDocument/2006/relationships/hyperlink" Target="http://www.land.gov.il/TozaotMichrazim/resultsDetailed.aspx?id=81369&amp;rc=302&amp;tr=674" TargetMode="External"/><Relationship Id="rId1993" Type="http://schemas.openxmlformats.org/officeDocument/2006/relationships/hyperlink" Target="http://www.land.gov.il/TozaotMichrazim/resultsDetailed.aspx?id=86734&amp;rc=14&amp;tr=440" TargetMode="External"/><Relationship Id="rId78" Type="http://schemas.openxmlformats.org/officeDocument/2006/relationships/hyperlink" Target="http://www.land.gov.il/TozaotMichrazim/resultsDetailed.aspx?id=84661&amp;rc=72&amp;tr=685" TargetMode="External"/><Relationship Id="rId809" Type="http://schemas.openxmlformats.org/officeDocument/2006/relationships/hyperlink" Target="http://www.land.gov.il/TozaotMichrazim/resultsDetailed.aspx?id=82683&amp;rc=782&amp;tr=1693" TargetMode="External"/><Relationship Id="rId1201" Type="http://schemas.openxmlformats.org/officeDocument/2006/relationships/hyperlink" Target="http://www.land.gov.il/TozaotMichrazim/resultsDetailed.aspx?id=83141&amp;rc=1240&amp;tr=1693" TargetMode="External"/><Relationship Id="rId1439" Type="http://schemas.openxmlformats.org/officeDocument/2006/relationships/hyperlink" Target="http://www.land.gov.il/TozaotMichrazim/resultsDetailed.aspx?id=87252&amp;rc=26&amp;tr=421" TargetMode="External"/><Relationship Id="rId1646" Type="http://schemas.openxmlformats.org/officeDocument/2006/relationships/hyperlink" Target="http://www.land.gov.il/TozaotMichrazim/resultsDetailed.aspx?id=86542&amp;rc=133&amp;tr=674" TargetMode="External"/><Relationship Id="rId1853" Type="http://schemas.openxmlformats.org/officeDocument/2006/relationships/hyperlink" Target="http://www.land.gov.il/TozaotMichrazim/resultsDetailed.aspx?id=79933&amp;rc=369&amp;tr=674" TargetMode="External"/><Relationship Id="rId1506" Type="http://schemas.openxmlformats.org/officeDocument/2006/relationships/hyperlink" Target="http://www.land.gov.il/TozaotMichrazim/resultsDetailed.aspx?id=80140&amp;rc=102&amp;tr=421" TargetMode="External"/><Relationship Id="rId1713" Type="http://schemas.openxmlformats.org/officeDocument/2006/relationships/hyperlink" Target="http://www.land.gov.il/TozaotMichrazim/resultsDetailed.aspx?id=81292&amp;rc=225&amp;tr=674" TargetMode="External"/><Relationship Id="rId1920" Type="http://schemas.openxmlformats.org/officeDocument/2006/relationships/hyperlink" Target="http://www.land.gov.il/TozaotMichrazim/resultsDetailed.aspx?id=76942&amp;rc=444&amp;tr=674" TargetMode="External"/><Relationship Id="rId294" Type="http://schemas.openxmlformats.org/officeDocument/2006/relationships/hyperlink" Target="http://www.land.gov.il/TozaotMichrazim/resultsDetailed.aspx?id=85020&amp;rc=165&amp;tr=1693" TargetMode="External"/><Relationship Id="rId2182" Type="http://schemas.openxmlformats.org/officeDocument/2006/relationships/hyperlink" Target="http://www.land.gov.il/PirsumMichrazim/Aspx/pirsumDetails.aspx?id=2282016%EE%F8&amp;rc=4&amp;tr=6" TargetMode="External"/><Relationship Id="rId154" Type="http://schemas.openxmlformats.org/officeDocument/2006/relationships/hyperlink" Target="http://www.land.gov.il/TozaotMichrazim/resultsDetailed.aspx?id=76569&amp;rc=156&amp;tr=685" TargetMode="External"/><Relationship Id="rId361" Type="http://schemas.openxmlformats.org/officeDocument/2006/relationships/hyperlink" Target="http://www.land.gov.il/TozaotMichrazim/resultsDetailed.aspx?id=85087&amp;rc=232&amp;tr=1693" TargetMode="External"/><Relationship Id="rId599" Type="http://schemas.openxmlformats.org/officeDocument/2006/relationships/hyperlink" Target="http://www.land.gov.il/TozaotMichrazim/resultsDetailed.aspx?id=85369&amp;rc=514&amp;tr=1693" TargetMode="External"/><Relationship Id="rId2042" Type="http://schemas.openxmlformats.org/officeDocument/2006/relationships/hyperlink" Target="http://www.land.gov.il/TozaotMichrazim/resultsDetailed.aspx?id=79143&amp;rc=68&amp;tr=440" TargetMode="External"/><Relationship Id="rId2487" Type="http://schemas.openxmlformats.org/officeDocument/2006/relationships/hyperlink" Target="http://www.land.gov.il/TozaotMichrazim/resultsDetailed.aspx?id=81170&amp;rc=39&amp;tr=87" TargetMode="External"/><Relationship Id="rId2694" Type="http://schemas.openxmlformats.org/officeDocument/2006/relationships/control" Target="../activeX/activeX155.xml"/><Relationship Id="rId459" Type="http://schemas.openxmlformats.org/officeDocument/2006/relationships/hyperlink" Target="http://www.land.gov.il/TozaotMichrazim/resultsDetailed.aspx?id=85195&amp;rc=340&amp;tr=1693" TargetMode="External"/><Relationship Id="rId666" Type="http://schemas.openxmlformats.org/officeDocument/2006/relationships/hyperlink" Target="http://www.land.gov.il/TozaotMichrazim/resultsDetailed.aspx?id=85452&amp;rc=597&amp;tr=1693" TargetMode="External"/><Relationship Id="rId873" Type="http://schemas.openxmlformats.org/officeDocument/2006/relationships/hyperlink" Target="http://www.land.gov.il/TozaotMichrazim/resultsDetailed.aspx?id=82761&amp;rc=860&amp;tr=1693" TargetMode="External"/><Relationship Id="rId1089" Type="http://schemas.openxmlformats.org/officeDocument/2006/relationships/hyperlink" Target="http://www.land.gov.il/TozaotMichrazim/resultsDetailed.aspx?id=83017&amp;rc=1116&amp;tr=1693" TargetMode="External"/><Relationship Id="rId1296" Type="http://schemas.openxmlformats.org/officeDocument/2006/relationships/hyperlink" Target="http://www.land.gov.il/TozaotMichrazim/resultsDetailed.aspx?id=78979&amp;rc=1349&amp;tr=1693" TargetMode="External"/><Relationship Id="rId2347" Type="http://schemas.openxmlformats.org/officeDocument/2006/relationships/hyperlink" Target="http://www.land.gov.il/TozaotMichrazim/resultsDetailed.aspx?id=87716&amp;rc=294&amp;tr=424" TargetMode="External"/><Relationship Id="rId2554" Type="http://schemas.openxmlformats.org/officeDocument/2006/relationships/control" Target="../activeX/activeX15.xml"/><Relationship Id="rId221" Type="http://schemas.openxmlformats.org/officeDocument/2006/relationships/hyperlink" Target="http://www.land.gov.il/TozaotMichrazim/resultsDetailed.aspx?id=84942&amp;rc=87&amp;tr=1693" TargetMode="External"/><Relationship Id="rId319" Type="http://schemas.openxmlformats.org/officeDocument/2006/relationships/hyperlink" Target="http://www.land.gov.il/TozaotMichrazim/resultsDetailed.aspx?id=85045&amp;rc=190&amp;tr=1693" TargetMode="External"/><Relationship Id="rId526" Type="http://schemas.openxmlformats.org/officeDocument/2006/relationships/hyperlink" Target="http://www.land.gov.il/TozaotMichrazim/resultsDetailed.aspx?id=85278&amp;rc=423&amp;tr=1693" TargetMode="External"/><Relationship Id="rId1156" Type="http://schemas.openxmlformats.org/officeDocument/2006/relationships/hyperlink" Target="http://www.land.gov.il/TozaotMichrazim/resultsDetailed.aspx?id=83092&amp;rc=1191&amp;tr=1693" TargetMode="External"/><Relationship Id="rId1363" Type="http://schemas.openxmlformats.org/officeDocument/2006/relationships/hyperlink" Target="http://www.land.gov.il/TozaotMichrazim/resultsDetailed.aspx?id=76264&amp;rc=1416&amp;tr=1693" TargetMode="External"/><Relationship Id="rId2207" Type="http://schemas.openxmlformats.org/officeDocument/2006/relationships/hyperlink" Target="http://land.gov.il/TozaotMichrazim/Results.aspx?NewSearch=true&amp;ynmichraz=2015&amp;anMichraz=%e7%e9&amp;Nnmichraz=269" TargetMode="External"/><Relationship Id="rId2761" Type="http://schemas.openxmlformats.org/officeDocument/2006/relationships/control" Target="../activeX/activeX222.xml"/><Relationship Id="rId733" Type="http://schemas.openxmlformats.org/officeDocument/2006/relationships/hyperlink" Target="http://www.land.gov.il/TozaotMichrazim/resultsDetailed.aspx?id=85536&amp;rc=681&amp;tr=1693" TargetMode="External"/><Relationship Id="rId940" Type="http://schemas.openxmlformats.org/officeDocument/2006/relationships/hyperlink" Target="http://www.land.gov.il/TozaotMichrazim/resultsDetailed.aspx?id=82833&amp;rc=932&amp;tr=1693" TargetMode="External"/><Relationship Id="rId1016" Type="http://schemas.openxmlformats.org/officeDocument/2006/relationships/hyperlink" Target="http://www.land.gov.il/TozaotMichrazim/resultsDetailed.aspx?id=82927&amp;rc=1026&amp;tr=1693" TargetMode="External"/><Relationship Id="rId1570" Type="http://schemas.openxmlformats.org/officeDocument/2006/relationships/hyperlink" Target="http://www.land.gov.il/TozaotMichrazim/resultsDetailed.aspx?id=86466&amp;rc=57&amp;tr=674" TargetMode="External"/><Relationship Id="rId1668" Type="http://schemas.openxmlformats.org/officeDocument/2006/relationships/hyperlink" Target="http://www.land.gov.il/TozaotMichrazim/resultsDetailed.aspx?id=84696&amp;rc=158&amp;tr=674" TargetMode="External"/><Relationship Id="rId1875" Type="http://schemas.openxmlformats.org/officeDocument/2006/relationships/hyperlink" Target="http://www.land.gov.il/TozaotMichrazim/resultsDetailed.aspx?id=79955&amp;rc=391&amp;tr=674" TargetMode="External"/><Relationship Id="rId2414" Type="http://schemas.openxmlformats.org/officeDocument/2006/relationships/hyperlink" Target="http://www.land.gov.il/TozaotMichrazim/resultsDetailed.aspx?id=87338&amp;rc=382&amp;tr=424" TargetMode="External"/><Relationship Id="rId2621" Type="http://schemas.openxmlformats.org/officeDocument/2006/relationships/control" Target="../activeX/activeX82.xml"/><Relationship Id="rId2719" Type="http://schemas.openxmlformats.org/officeDocument/2006/relationships/control" Target="../activeX/activeX180.xml"/><Relationship Id="rId800" Type="http://schemas.openxmlformats.org/officeDocument/2006/relationships/hyperlink" Target="http://www.land.gov.il/TozaotMichrazim/resultsDetailed.aspx?id=82668&amp;rc=767&amp;tr=1693" TargetMode="External"/><Relationship Id="rId1223" Type="http://schemas.openxmlformats.org/officeDocument/2006/relationships/hyperlink" Target="http://www.land.gov.il/TozaotMichrazim/resultsDetailed.aspx?id=83175&amp;rc=1274&amp;tr=1693" TargetMode="External"/><Relationship Id="rId1430" Type="http://schemas.openxmlformats.org/officeDocument/2006/relationships/hyperlink" Target="http://www.land.gov.il/TozaotMichrazim/resultsDetailed.aspx?id=87243&amp;rc=17&amp;tr=421" TargetMode="External"/><Relationship Id="rId1528" Type="http://schemas.openxmlformats.org/officeDocument/2006/relationships/hyperlink" Target="http://www.land.gov.il/TozaotMichrazim/resultsDetailed.aspx?id=86424&amp;rc=15&amp;tr=674" TargetMode="External"/><Relationship Id="rId1735" Type="http://schemas.openxmlformats.org/officeDocument/2006/relationships/hyperlink" Target="http://www.land.gov.il/TozaotMichrazim/resultsDetailed.aspx?id=81315&amp;rc=248&amp;tr=674" TargetMode="External"/><Relationship Id="rId1942" Type="http://schemas.openxmlformats.org/officeDocument/2006/relationships/hyperlink" Target="http://www.land.gov.il/TozaotMichrazim/resultsDetailed.aspx?id=76976&amp;rc=478&amp;tr=674" TargetMode="External"/><Relationship Id="rId27" Type="http://schemas.openxmlformats.org/officeDocument/2006/relationships/hyperlink" Target="http://www.land.gov.il/TozaotMichrazim/resultsDetailed.aspx?id=84610&amp;rc=21&amp;tr=685" TargetMode="External"/><Relationship Id="rId1802" Type="http://schemas.openxmlformats.org/officeDocument/2006/relationships/hyperlink" Target="http://www.land.gov.il/TozaotMichrazim/resultsDetailed.aspx?id=81385&amp;rc=318&amp;tr=674" TargetMode="External"/><Relationship Id="rId176" Type="http://schemas.openxmlformats.org/officeDocument/2006/relationships/hyperlink" Target="http://www.land.gov.il/TozaotMichrazim/resultsDetailed.aspx?id=84896&amp;rc=41&amp;tr=1693" TargetMode="External"/><Relationship Id="rId383" Type="http://schemas.openxmlformats.org/officeDocument/2006/relationships/hyperlink" Target="http://www.land.gov.il/TozaotMichrazim/resultsDetailed.aspx?id=85109&amp;rc=254&amp;tr=1693" TargetMode="External"/><Relationship Id="rId590" Type="http://schemas.openxmlformats.org/officeDocument/2006/relationships/hyperlink" Target="http://www.land.gov.il/TozaotMichrazim/resultsDetailed.aspx?id=85349&amp;rc=494&amp;tr=1693" TargetMode="External"/><Relationship Id="rId2064" Type="http://schemas.openxmlformats.org/officeDocument/2006/relationships/hyperlink" Target="http://www.land.gov.il/TozaotMichrazim/resultsDetailed.aspx?id=87115&amp;rc=5&amp;tr=115" TargetMode="External"/><Relationship Id="rId2271" Type="http://schemas.openxmlformats.org/officeDocument/2006/relationships/hyperlink" Target="http://www.land.gov.il/TozaotMichrazim/resultsDetailed.aspx?id=87778&amp;rc=217&amp;tr=424" TargetMode="External"/><Relationship Id="rId243" Type="http://schemas.openxmlformats.org/officeDocument/2006/relationships/hyperlink" Target="http://www.land.gov.il/TozaotMichrazim/resultsDetailed.aspx?id=84965&amp;rc=110&amp;tr=1693" TargetMode="External"/><Relationship Id="rId450" Type="http://schemas.openxmlformats.org/officeDocument/2006/relationships/hyperlink" Target="http://www.land.gov.il/TozaotMichrazim/resultsDetailed.aspx?id=85186&amp;rc=331&amp;tr=1693" TargetMode="External"/><Relationship Id="rId688" Type="http://schemas.openxmlformats.org/officeDocument/2006/relationships/hyperlink" Target="http://www.land.gov.il/TozaotMichrazim/resultsDetailed.aspx?id=85474&amp;rc=619&amp;tr=1693" TargetMode="External"/><Relationship Id="rId895" Type="http://schemas.openxmlformats.org/officeDocument/2006/relationships/hyperlink" Target="http://www.land.gov.il/TozaotMichrazim/resultsDetailed.aspx?id=82784&amp;rc=883&amp;tr=1693" TargetMode="External"/><Relationship Id="rId1080" Type="http://schemas.openxmlformats.org/officeDocument/2006/relationships/hyperlink" Target="http://www.land.gov.il/TozaotMichrazim/resultsDetailed.aspx?id=83007&amp;rc=1106&amp;tr=1693" TargetMode="External"/><Relationship Id="rId2131" Type="http://schemas.openxmlformats.org/officeDocument/2006/relationships/hyperlink" Target="http://www.land.gov.il/IturTabot2/taba1.aspx?MisTochnit=%u05DC%u05D4/6/170&amp;Ishuv=8500" TargetMode="External"/><Relationship Id="rId2369" Type="http://schemas.openxmlformats.org/officeDocument/2006/relationships/hyperlink" Target="http://www.land.gov.il/TozaotMichrazim/resultsDetailed.aspx?id=87738&amp;rc=316&amp;tr=424" TargetMode="External"/><Relationship Id="rId2576" Type="http://schemas.openxmlformats.org/officeDocument/2006/relationships/control" Target="../activeX/activeX37.xml"/><Relationship Id="rId2783" Type="http://schemas.openxmlformats.org/officeDocument/2006/relationships/control" Target="../activeX/activeX244.xml"/><Relationship Id="rId103" Type="http://schemas.openxmlformats.org/officeDocument/2006/relationships/hyperlink" Target="http://www.land.gov.il/TozaotMichrazim/resultsDetailed.aspx?id=84686&amp;rc=97&amp;tr=685" TargetMode="External"/><Relationship Id="rId310" Type="http://schemas.openxmlformats.org/officeDocument/2006/relationships/hyperlink" Target="http://www.land.gov.il/TozaotMichrazim/resultsDetailed.aspx?id=85036&amp;rc=181&amp;tr=1693" TargetMode="External"/><Relationship Id="rId548" Type="http://schemas.openxmlformats.org/officeDocument/2006/relationships/hyperlink" Target="http://www.land.gov.il/TozaotMichrazim/resultsDetailed.aspx?id=85303&amp;rc=448&amp;tr=1693" TargetMode="External"/><Relationship Id="rId755" Type="http://schemas.openxmlformats.org/officeDocument/2006/relationships/hyperlink" Target="http://www.land.gov.il/TozaotMichrazim/resultsDetailed.aspx?id=85566&amp;rc=711&amp;tr=1693" TargetMode="External"/><Relationship Id="rId962" Type="http://schemas.openxmlformats.org/officeDocument/2006/relationships/hyperlink" Target="http://www.land.gov.il/TozaotMichrazim/resultsDetailed.aspx?id=82858&amp;rc=957&amp;tr=1693" TargetMode="External"/><Relationship Id="rId1178" Type="http://schemas.openxmlformats.org/officeDocument/2006/relationships/hyperlink" Target="http://www.land.gov.il/TozaotMichrazim/resultsDetailed.aspx?id=83117&amp;rc=1216&amp;tr=1693" TargetMode="External"/><Relationship Id="rId1385" Type="http://schemas.openxmlformats.org/officeDocument/2006/relationships/hyperlink" Target="http://www.land.gov.il/TozaotMichrazim/resultsDetailed.aspx?id=76286&amp;rc=1438&amp;tr=1693" TargetMode="External"/><Relationship Id="rId1592" Type="http://schemas.openxmlformats.org/officeDocument/2006/relationships/hyperlink" Target="http://www.land.gov.il/TozaotMichrazim/resultsDetailed.aspx?id=86488&amp;rc=79&amp;tr=674" TargetMode="External"/><Relationship Id="rId2229" Type="http://schemas.openxmlformats.org/officeDocument/2006/relationships/hyperlink" Target="http://land.gov.il/TozaotMichrazim/Results.aspx?NewSearch=true&amp;ynmichraz=2014&amp;anMichraz=%e7%e9&amp;Nnmichraz=376" TargetMode="External"/><Relationship Id="rId2436" Type="http://schemas.openxmlformats.org/officeDocument/2006/relationships/hyperlink" Target="http://www.land.gov.il/TozaotMichrazim/resultsDetailed.aspx?id=87319&amp;rc=412&amp;tr=424" TargetMode="External"/><Relationship Id="rId2643" Type="http://schemas.openxmlformats.org/officeDocument/2006/relationships/control" Target="../activeX/activeX104.xml"/><Relationship Id="rId91" Type="http://schemas.openxmlformats.org/officeDocument/2006/relationships/hyperlink" Target="http://www.land.gov.il/TozaotMichrazim/resultsDetailed.aspx?id=84674&amp;rc=85&amp;tr=685" TargetMode="External"/><Relationship Id="rId408" Type="http://schemas.openxmlformats.org/officeDocument/2006/relationships/hyperlink" Target="http://www.land.gov.il/TozaotMichrazim/resultsDetailed.aspx?id=85142&amp;rc=287&amp;tr=1693" TargetMode="External"/><Relationship Id="rId615" Type="http://schemas.openxmlformats.org/officeDocument/2006/relationships/hyperlink" Target="http://www.land.gov.il/TozaotMichrazim/resultsDetailed.aspx?id=85390&amp;rc=535&amp;tr=1693" TargetMode="External"/><Relationship Id="rId822" Type="http://schemas.openxmlformats.org/officeDocument/2006/relationships/hyperlink" Target="http://www.land.gov.il/TozaotMichrazim/resultsDetailed.aspx?id=82704&amp;rc=803&amp;tr=1693" TargetMode="External"/><Relationship Id="rId1038" Type="http://schemas.openxmlformats.org/officeDocument/2006/relationships/hyperlink" Target="http://www.land.gov.il/TozaotMichrazim/resultsDetailed.aspx?id=82952&amp;rc=1051&amp;tr=1693" TargetMode="External"/><Relationship Id="rId1245" Type="http://schemas.openxmlformats.org/officeDocument/2006/relationships/hyperlink" Target="http://www.land.gov.il/TozaotMichrazim/resultsDetailed.aspx?id=79318&amp;rc=1298&amp;tr=1693" TargetMode="External"/><Relationship Id="rId1452" Type="http://schemas.openxmlformats.org/officeDocument/2006/relationships/hyperlink" Target="http://www.land.gov.il/TozaotMichrazim/resultsDetailed.aspx?id=86273&amp;rc=41&amp;tr=421" TargetMode="External"/><Relationship Id="rId1897" Type="http://schemas.openxmlformats.org/officeDocument/2006/relationships/hyperlink" Target="http://www.land.gov.il/TozaotMichrazim/resultsDetailed.aspx?id=79393&amp;rc=413&amp;tr=674" TargetMode="External"/><Relationship Id="rId2503" Type="http://schemas.openxmlformats.org/officeDocument/2006/relationships/hyperlink" Target="http://www.land.gov.il/TozaotMichrazim/resultsDetailed.aspx?id=70941&amp;rc=55&amp;tr=87" TargetMode="External"/><Relationship Id="rId1105" Type="http://schemas.openxmlformats.org/officeDocument/2006/relationships/hyperlink" Target="http://www.land.gov.il/TozaotMichrazim/resultsDetailed.aspx?id=83035&amp;rc=1134&amp;tr=1693" TargetMode="External"/><Relationship Id="rId1312" Type="http://schemas.openxmlformats.org/officeDocument/2006/relationships/hyperlink" Target="http://www.land.gov.il/TozaotMichrazim/resultsDetailed.aspx?id=78030&amp;rc=1365&amp;tr=1693" TargetMode="External"/><Relationship Id="rId1757" Type="http://schemas.openxmlformats.org/officeDocument/2006/relationships/hyperlink" Target="http://www.land.gov.il/TozaotMichrazim/resultsDetailed.aspx?id=81337&amp;rc=270&amp;tr=674" TargetMode="External"/><Relationship Id="rId1964" Type="http://schemas.openxmlformats.org/officeDocument/2006/relationships/hyperlink" Target="http://www.land.gov.il/TozaotMichrazim/resultsDetailed.aspx?id=76998&amp;rc=500&amp;tr=674" TargetMode="External"/><Relationship Id="rId2710" Type="http://schemas.openxmlformats.org/officeDocument/2006/relationships/control" Target="../activeX/activeX171.xml"/><Relationship Id="rId2808" Type="http://schemas.openxmlformats.org/officeDocument/2006/relationships/control" Target="../activeX/activeX269.xml"/><Relationship Id="rId49" Type="http://schemas.openxmlformats.org/officeDocument/2006/relationships/hyperlink" Target="http://www.land.gov.il/TozaotMichrazim/resultsDetailed.aspx?id=84632&amp;rc=43&amp;tr=685" TargetMode="External"/><Relationship Id="rId1617" Type="http://schemas.openxmlformats.org/officeDocument/2006/relationships/hyperlink" Target="http://www.land.gov.il/TozaotMichrazim/resultsDetailed.aspx?id=86513&amp;rc=104&amp;tr=674" TargetMode="External"/><Relationship Id="rId1824" Type="http://schemas.openxmlformats.org/officeDocument/2006/relationships/hyperlink" Target="http://www.land.gov.il/TozaotMichrazim/resultsDetailed.aspx?id=81407&amp;rc=340&amp;tr=674" TargetMode="External"/><Relationship Id="rId198" Type="http://schemas.openxmlformats.org/officeDocument/2006/relationships/hyperlink" Target="http://www.land.gov.il/TozaotMichrazim/resultsDetailed.aspx?id=84919&amp;rc=64&amp;tr=1693" TargetMode="External"/><Relationship Id="rId2086" Type="http://schemas.openxmlformats.org/officeDocument/2006/relationships/hyperlink" Target="http://www.land.gov.il/TozaotMichrazim/resultsDetailed.aspx?id=77077&amp;rc=27&amp;tr=115" TargetMode="External"/><Relationship Id="rId2293" Type="http://schemas.openxmlformats.org/officeDocument/2006/relationships/hyperlink" Target="http://www.land.gov.il/TozaotMichrazim/resultsDetailed.aspx?id=87662&amp;rc=240&amp;tr=424" TargetMode="External"/><Relationship Id="rId2598" Type="http://schemas.openxmlformats.org/officeDocument/2006/relationships/control" Target="../activeX/activeX59.xml"/><Relationship Id="rId265" Type="http://schemas.openxmlformats.org/officeDocument/2006/relationships/hyperlink" Target="http://www.land.gov.il/TozaotMichrazim/resultsDetailed.aspx?id=84991&amp;rc=136&amp;tr=1693" TargetMode="External"/><Relationship Id="rId472" Type="http://schemas.openxmlformats.org/officeDocument/2006/relationships/hyperlink" Target="http://www.land.gov.il/TozaotMichrazim/resultsDetailed.aspx?id=85208&amp;rc=353&amp;tr=1693" TargetMode="External"/><Relationship Id="rId2153" Type="http://schemas.openxmlformats.org/officeDocument/2006/relationships/hyperlink" Target="http://www.land.gov.il/shivukweb/pages/Prj_carmeigat.html" TargetMode="External"/><Relationship Id="rId2360" Type="http://schemas.openxmlformats.org/officeDocument/2006/relationships/hyperlink" Target="http://www.land.gov.il/TozaotMichrazim/resultsDetailed.aspx?id=87729&amp;rc=307&amp;tr=424" TargetMode="External"/><Relationship Id="rId125" Type="http://schemas.openxmlformats.org/officeDocument/2006/relationships/hyperlink" Target="http://www.land.gov.il/TozaotMichrazim/resultsDetailed.aspx?id=80642&amp;rc=121&amp;tr=685" TargetMode="External"/><Relationship Id="rId332" Type="http://schemas.openxmlformats.org/officeDocument/2006/relationships/hyperlink" Target="http://www.land.gov.il/TozaotMichrazim/resultsDetailed.aspx?id=85058&amp;rc=203&amp;tr=1693" TargetMode="External"/><Relationship Id="rId777" Type="http://schemas.openxmlformats.org/officeDocument/2006/relationships/hyperlink" Target="http://www.land.gov.il/TozaotMichrazim/resultsDetailed.aspx?id=82639&amp;rc=738&amp;tr=1693" TargetMode="External"/><Relationship Id="rId984" Type="http://schemas.openxmlformats.org/officeDocument/2006/relationships/hyperlink" Target="http://www.land.gov.il/TozaotMichrazim/resultsDetailed.aspx?id=82890&amp;rc=989&amp;tr=1693" TargetMode="External"/><Relationship Id="rId2013" Type="http://schemas.openxmlformats.org/officeDocument/2006/relationships/hyperlink" Target="http://www.land.gov.il/TozaotMichrazim/resultsDetailed.aspx?id=81175&amp;rc=39&amp;tr=440" TargetMode="External"/><Relationship Id="rId2220" Type="http://schemas.openxmlformats.org/officeDocument/2006/relationships/hyperlink" Target="http://land.gov.il/TozaotMichrazim/Results.aspx?NewSearch=true&amp;ynmichraz=2014&amp;anMichraz=%e7%e9&amp;Nnmichraz=376" TargetMode="External"/><Relationship Id="rId2458" Type="http://schemas.openxmlformats.org/officeDocument/2006/relationships/hyperlink" Target="http://www.land.gov.il/TozaotMichrazim/resultsDetailed.aspx?id=85582&amp;rc=10&amp;tr=87" TargetMode="External"/><Relationship Id="rId2665" Type="http://schemas.openxmlformats.org/officeDocument/2006/relationships/control" Target="../activeX/activeX126.xml"/><Relationship Id="rId637" Type="http://schemas.openxmlformats.org/officeDocument/2006/relationships/hyperlink" Target="http://www.land.gov.il/TozaotMichrazim/resultsDetailed.aspx?id=85416&amp;rc=561&amp;tr=1693" TargetMode="External"/><Relationship Id="rId844" Type="http://schemas.openxmlformats.org/officeDocument/2006/relationships/hyperlink" Target="http://www.land.gov.il/TozaotMichrazim/resultsDetailed.aspx?id=82731&amp;rc=830&amp;tr=1693" TargetMode="External"/><Relationship Id="rId1267" Type="http://schemas.openxmlformats.org/officeDocument/2006/relationships/hyperlink" Target="http://www.land.gov.il/TozaotMichrazim/resultsDetailed.aspx?id=79340&amp;rc=1320&amp;tr=1693" TargetMode="External"/><Relationship Id="rId1474" Type="http://schemas.openxmlformats.org/officeDocument/2006/relationships/hyperlink" Target="http://www.land.gov.il/TozaotMichrazim/resultsDetailed.aspx?id=80860&amp;rc=65&amp;tr=421" TargetMode="External"/><Relationship Id="rId1681" Type="http://schemas.openxmlformats.org/officeDocument/2006/relationships/hyperlink" Target="http://www.land.gov.il/TozaotMichrazim/resultsDetailed.aspx?id=85602&amp;rc=172&amp;tr=674" TargetMode="External"/><Relationship Id="rId2318" Type="http://schemas.openxmlformats.org/officeDocument/2006/relationships/hyperlink" Target="http://www.land.gov.il/TozaotMichrazim/resultsDetailed.aspx?id=87687&amp;rc=265&amp;tr=424" TargetMode="External"/><Relationship Id="rId2525" Type="http://schemas.openxmlformats.org/officeDocument/2006/relationships/hyperlink" Target="http://www.land.gov.il/TozaotMichrazim/resultsDetailed.aspx?id=66267&amp;rc=77&amp;tr=87" TargetMode="External"/><Relationship Id="rId2732" Type="http://schemas.openxmlformats.org/officeDocument/2006/relationships/control" Target="../activeX/activeX193.xml"/><Relationship Id="rId704" Type="http://schemas.openxmlformats.org/officeDocument/2006/relationships/hyperlink" Target="http://www.land.gov.il/TozaotMichrazim/resultsDetailed.aspx?id=85493&amp;rc=638&amp;tr=1693" TargetMode="External"/><Relationship Id="rId911" Type="http://schemas.openxmlformats.org/officeDocument/2006/relationships/hyperlink" Target="http://www.land.gov.il/TozaotMichrazim/resultsDetailed.aspx?id=82801&amp;rc=900&amp;tr=1693" TargetMode="External"/><Relationship Id="rId1127" Type="http://schemas.openxmlformats.org/officeDocument/2006/relationships/hyperlink" Target="http://www.land.gov.il/TozaotMichrazim/resultsDetailed.aspx?id=83058&amp;rc=1157&amp;tr=1693" TargetMode="External"/><Relationship Id="rId1334" Type="http://schemas.openxmlformats.org/officeDocument/2006/relationships/hyperlink" Target="http://www.land.gov.il/TozaotMichrazim/resultsDetailed.aspx?id=76235&amp;rc=1387&amp;tr=1693" TargetMode="External"/><Relationship Id="rId1541" Type="http://schemas.openxmlformats.org/officeDocument/2006/relationships/hyperlink" Target="http://www.land.gov.il/TozaotMichrazim/resultsDetailed.aspx?id=86437&amp;rc=28&amp;tr=674" TargetMode="External"/><Relationship Id="rId1779" Type="http://schemas.openxmlformats.org/officeDocument/2006/relationships/hyperlink" Target="http://www.land.gov.il/TozaotMichrazim/resultsDetailed.aspx?id=81360&amp;rc=293&amp;tr=674" TargetMode="External"/><Relationship Id="rId1986" Type="http://schemas.openxmlformats.org/officeDocument/2006/relationships/hyperlink" Target="http://www.land.gov.il/TozaotMichrazim/resultsDetailed.aspx?id=86727&amp;rc=7&amp;tr=440" TargetMode="External"/><Relationship Id="rId40" Type="http://schemas.openxmlformats.org/officeDocument/2006/relationships/hyperlink" Target="http://www.land.gov.il/TozaotMichrazim/resultsDetailed.aspx?id=84623&amp;rc=34&amp;tr=685" TargetMode="External"/><Relationship Id="rId1401" Type="http://schemas.openxmlformats.org/officeDocument/2006/relationships/hyperlink" Target="http://www.land.gov.il/TozaotMichrazim/resultsDetailed.aspx?id=81494&amp;rc=19&amp;tr=79" TargetMode="External"/><Relationship Id="rId1639" Type="http://schemas.openxmlformats.org/officeDocument/2006/relationships/hyperlink" Target="http://www.land.gov.il/TozaotMichrazim/resultsDetailed.aspx?id=86535&amp;rc=126&amp;tr=674" TargetMode="External"/><Relationship Id="rId1846" Type="http://schemas.openxmlformats.org/officeDocument/2006/relationships/hyperlink" Target="http://www.land.gov.il/TozaotMichrazim/resultsDetailed.aspx?id=79926&amp;rc=362&amp;tr=674" TargetMode="External"/><Relationship Id="rId1706" Type="http://schemas.openxmlformats.org/officeDocument/2006/relationships/hyperlink" Target="http://www.land.gov.il/TozaotMichrazim/resultsDetailed.aspx?id=81283&amp;rc=216&amp;tr=674" TargetMode="External"/><Relationship Id="rId1913" Type="http://schemas.openxmlformats.org/officeDocument/2006/relationships/hyperlink" Target="http://www.land.gov.il/TozaotMichrazim/resultsDetailed.aspx?id=76928&amp;rc=430&amp;tr=674" TargetMode="External"/><Relationship Id="rId287" Type="http://schemas.openxmlformats.org/officeDocument/2006/relationships/hyperlink" Target="http://www.land.gov.il/TozaotMichrazim/resultsDetailed.aspx?id=85013&amp;rc=158&amp;tr=1693" TargetMode="External"/><Relationship Id="rId494" Type="http://schemas.openxmlformats.org/officeDocument/2006/relationships/hyperlink" Target="http://www.land.gov.il/TozaotMichrazim/resultsDetailed.aspx?id=85232&amp;rc=377&amp;tr=1693" TargetMode="External"/><Relationship Id="rId2175" Type="http://schemas.openxmlformats.org/officeDocument/2006/relationships/hyperlink" Target="http://www.land.gov.il/PirsumMichrazim/Aspx/pirsumDetails.aspx?id=%20112017%E9%ED&amp;rc=2&amp;tr=4" TargetMode="External"/><Relationship Id="rId2382" Type="http://schemas.openxmlformats.org/officeDocument/2006/relationships/hyperlink" Target="http://www.land.gov.il/TozaotMichrazim/resultsDetailed.aspx?id=87287&amp;rc=333&amp;tr=424" TargetMode="External"/><Relationship Id="rId147" Type="http://schemas.openxmlformats.org/officeDocument/2006/relationships/hyperlink" Target="http://www.land.gov.il/TozaotMichrazim/resultsDetailed.aspx?id=76562&amp;rc=149&amp;tr=685" TargetMode="External"/><Relationship Id="rId354" Type="http://schemas.openxmlformats.org/officeDocument/2006/relationships/hyperlink" Target="http://www.land.gov.il/TozaotMichrazim/resultsDetailed.aspx?id=85080&amp;rc=225&amp;tr=1693" TargetMode="External"/><Relationship Id="rId799" Type="http://schemas.openxmlformats.org/officeDocument/2006/relationships/hyperlink" Target="http://www.land.gov.il/TozaotMichrazim/resultsDetailed.aspx?id=82667&amp;rc=766&amp;tr=1693" TargetMode="External"/><Relationship Id="rId1191" Type="http://schemas.openxmlformats.org/officeDocument/2006/relationships/hyperlink" Target="http://www.land.gov.il/TozaotMichrazim/resultsDetailed.aspx?id=83130&amp;rc=1229&amp;tr=1693" TargetMode="External"/><Relationship Id="rId2035" Type="http://schemas.openxmlformats.org/officeDocument/2006/relationships/hyperlink" Target="http://www.land.gov.il/TozaotMichrazim/resultsDetailed.aspx?id=79136&amp;rc=61&amp;tr=440" TargetMode="External"/><Relationship Id="rId2687" Type="http://schemas.openxmlformats.org/officeDocument/2006/relationships/control" Target="../activeX/activeX148.xml"/><Relationship Id="rId561" Type="http://schemas.openxmlformats.org/officeDocument/2006/relationships/hyperlink" Target="http://www.land.gov.il/TozaotMichrazim/resultsDetailed.aspx?id=85318&amp;rc=463&amp;tr=1693" TargetMode="External"/><Relationship Id="rId659" Type="http://schemas.openxmlformats.org/officeDocument/2006/relationships/hyperlink" Target="http://www.land.gov.il/TozaotMichrazim/resultsDetailed.aspx?id=85442&amp;rc=587&amp;tr=1693" TargetMode="External"/><Relationship Id="rId866" Type="http://schemas.openxmlformats.org/officeDocument/2006/relationships/hyperlink" Target="http://www.land.gov.il/TozaotMichrazim/resultsDetailed.aspx?id=82754&amp;rc=853&amp;tr=1693" TargetMode="External"/><Relationship Id="rId1289" Type="http://schemas.openxmlformats.org/officeDocument/2006/relationships/hyperlink" Target="http://www.land.gov.il/TozaotMichrazim/resultsDetailed.aspx?id=79362&amp;rc=1342&amp;tr=1693" TargetMode="External"/><Relationship Id="rId1496" Type="http://schemas.openxmlformats.org/officeDocument/2006/relationships/hyperlink" Target="http://www.land.gov.il/TozaotMichrazim/resultsDetailed.aspx?id=80130&amp;rc=92&amp;tr=421" TargetMode="External"/><Relationship Id="rId2242" Type="http://schemas.openxmlformats.org/officeDocument/2006/relationships/hyperlink" Target="http://www.land.gov.il/TozaotMichrazim/resultsDetailed.aspx?id=87846&amp;rc=26&amp;tr=424" TargetMode="External"/><Relationship Id="rId2547" Type="http://schemas.openxmlformats.org/officeDocument/2006/relationships/control" Target="../activeX/activeX8.xml"/><Relationship Id="rId214" Type="http://schemas.openxmlformats.org/officeDocument/2006/relationships/hyperlink" Target="http://www.land.gov.il/TozaotMichrazim/resultsDetailed.aspx?id=84935&amp;rc=80&amp;tr=1693" TargetMode="External"/><Relationship Id="rId421" Type="http://schemas.openxmlformats.org/officeDocument/2006/relationships/hyperlink" Target="http://www.land.gov.il/TozaotMichrazim/resultsDetailed.aspx?id=85157&amp;rc=302&amp;tr=1693" TargetMode="External"/><Relationship Id="rId519" Type="http://schemas.openxmlformats.org/officeDocument/2006/relationships/hyperlink" Target="http://www.land.gov.il/TozaotMichrazim/resultsDetailed.aspx?id=85268&amp;rc=413&amp;tr=1693" TargetMode="External"/><Relationship Id="rId1051" Type="http://schemas.openxmlformats.org/officeDocument/2006/relationships/hyperlink" Target="http://www.land.gov.il/TozaotMichrazim/resultsDetailed.aspx?id=82967&amp;rc=1066&amp;tr=1693" TargetMode="External"/><Relationship Id="rId1149" Type="http://schemas.openxmlformats.org/officeDocument/2006/relationships/hyperlink" Target="http://www.land.gov.il/TozaotMichrazim/resultsDetailed.aspx?id=83082&amp;rc=1181&amp;tr=1693" TargetMode="External"/><Relationship Id="rId1356" Type="http://schemas.openxmlformats.org/officeDocument/2006/relationships/hyperlink" Target="http://www.land.gov.il/TozaotMichrazim/resultsDetailed.aspx?id=76257&amp;rc=1409&amp;tr=1693" TargetMode="External"/><Relationship Id="rId2102" Type="http://schemas.openxmlformats.org/officeDocument/2006/relationships/hyperlink" Target="http://www.land.gov.il/TozaotMichrazim/resultsDetailed.aspx?id=79158&amp;rc=18&amp;tr=100" TargetMode="External"/><Relationship Id="rId2754" Type="http://schemas.openxmlformats.org/officeDocument/2006/relationships/control" Target="../activeX/activeX215.xml"/><Relationship Id="rId726" Type="http://schemas.openxmlformats.org/officeDocument/2006/relationships/hyperlink" Target="http://www.land.gov.il/TozaotMichrazim/resultsDetailed.aspx?id=85518&amp;rc=663&amp;tr=1693" TargetMode="External"/><Relationship Id="rId933" Type="http://schemas.openxmlformats.org/officeDocument/2006/relationships/hyperlink" Target="http://www.land.gov.il/TozaotMichrazim/resultsDetailed.aspx?id=82825&amp;rc=924&amp;tr=1693" TargetMode="External"/><Relationship Id="rId1009" Type="http://schemas.openxmlformats.org/officeDocument/2006/relationships/hyperlink" Target="http://www.land.gov.il/TozaotMichrazim/resultsDetailed.aspx?id=82919&amp;rc=1018&amp;tr=1693" TargetMode="External"/><Relationship Id="rId1563" Type="http://schemas.openxmlformats.org/officeDocument/2006/relationships/hyperlink" Target="http://www.land.gov.il/TozaotMichrazim/resultsDetailed.aspx?id=86459&amp;rc=50&amp;tr=674" TargetMode="External"/><Relationship Id="rId1770" Type="http://schemas.openxmlformats.org/officeDocument/2006/relationships/hyperlink" Target="http://www.land.gov.il/TozaotMichrazim/resultsDetailed.aspx?id=81350&amp;rc=283&amp;tr=674" TargetMode="External"/><Relationship Id="rId1868" Type="http://schemas.openxmlformats.org/officeDocument/2006/relationships/hyperlink" Target="http://www.land.gov.il/TozaotMichrazim/resultsDetailed.aspx?id=79948&amp;rc=384&amp;tr=674" TargetMode="External"/><Relationship Id="rId2407" Type="http://schemas.openxmlformats.org/officeDocument/2006/relationships/hyperlink" Target="http://www.land.gov.il/TozaotMichrazim/resultsDetailed.aspx?id=87285&amp;rc=375&amp;tr=424" TargetMode="External"/><Relationship Id="rId2614" Type="http://schemas.openxmlformats.org/officeDocument/2006/relationships/control" Target="../activeX/activeX75.xml"/><Relationship Id="rId62" Type="http://schemas.openxmlformats.org/officeDocument/2006/relationships/hyperlink" Target="http://www.land.gov.il/TozaotMichrazim/resultsDetailed.aspx?id=84645&amp;rc=56&amp;tr=685" TargetMode="External"/><Relationship Id="rId1216" Type="http://schemas.openxmlformats.org/officeDocument/2006/relationships/hyperlink" Target="http://www.land.gov.il/TozaotMichrazim/resultsDetailed.aspx?id=83158&amp;rc=1257&amp;tr=1693" TargetMode="External"/><Relationship Id="rId1423" Type="http://schemas.openxmlformats.org/officeDocument/2006/relationships/hyperlink" Target="http://www.land.gov.il/TozaotMichrazim/resultsDetailed.aspx?id=87236&amp;rc=10&amp;tr=421" TargetMode="External"/><Relationship Id="rId1630" Type="http://schemas.openxmlformats.org/officeDocument/2006/relationships/hyperlink" Target="http://www.land.gov.il/TozaotMichrazim/resultsDetailed.aspx?id=86526&amp;rc=117&amp;tr=674" TargetMode="External"/><Relationship Id="rId1728" Type="http://schemas.openxmlformats.org/officeDocument/2006/relationships/hyperlink" Target="http://www.land.gov.il/TozaotMichrazim/resultsDetailed.aspx?id=81307&amp;rc=240&amp;tr=674" TargetMode="External"/><Relationship Id="rId1935" Type="http://schemas.openxmlformats.org/officeDocument/2006/relationships/hyperlink" Target="http://www.land.gov.il/TozaotMichrazim/resultsDetailed.aspx?id=76968&amp;rc=470&amp;tr=674" TargetMode="External"/><Relationship Id="rId2197" Type="http://schemas.openxmlformats.org/officeDocument/2006/relationships/hyperlink" Target="http://www.land.gov.il/PirsumMichrazim/Aspx/pirsumDetails.aspx?id=3542013%E1%F9&amp;rc=41&amp;tr=196" TargetMode="External"/><Relationship Id="rId169" Type="http://schemas.openxmlformats.org/officeDocument/2006/relationships/hyperlink" Target="http://www.land.gov.il/TozaotMichrazim/resultsDetailed.aspx?id=84889&amp;rc=34&amp;tr=1693" TargetMode="External"/><Relationship Id="rId376" Type="http://schemas.openxmlformats.org/officeDocument/2006/relationships/hyperlink" Target="http://www.land.gov.il/TozaotMichrazim/resultsDetailed.aspx?id=85102&amp;rc=247&amp;tr=1693" TargetMode="External"/><Relationship Id="rId583" Type="http://schemas.openxmlformats.org/officeDocument/2006/relationships/hyperlink" Target="http://www.land.gov.il/TozaotMichrazim/resultsDetailed.aspx?id=85342&amp;rc=487&amp;tr=1693" TargetMode="External"/><Relationship Id="rId790" Type="http://schemas.openxmlformats.org/officeDocument/2006/relationships/hyperlink" Target="http://www.land.gov.il/TozaotMichrazim/resultsDetailed.aspx?id=82657&amp;rc=756&amp;tr=1693" TargetMode="External"/><Relationship Id="rId2057" Type="http://schemas.openxmlformats.org/officeDocument/2006/relationships/hyperlink" Target="http://www.land.gov.il/TozaotMichrazim/resultsDetailed.aspx?id=83251&amp;rc=6&amp;tr=177" TargetMode="External"/><Relationship Id="rId2264" Type="http://schemas.openxmlformats.org/officeDocument/2006/relationships/hyperlink" Target="http://www.land.gov.il/TozaotMichrazim/resultsDetailed.aspx?id=87769&amp;rc=209&amp;tr=424" TargetMode="External"/><Relationship Id="rId2471" Type="http://schemas.openxmlformats.org/officeDocument/2006/relationships/hyperlink" Target="http://www.land.gov.il/TozaotMichrazim/resultsDetailed.aspx?id=84838&amp;rc=23&amp;tr=87" TargetMode="External"/><Relationship Id="rId4" Type="http://schemas.openxmlformats.org/officeDocument/2006/relationships/hyperlink" Target="http://www.themarker.com/realestate/1.3058555" TargetMode="External"/><Relationship Id="rId236" Type="http://schemas.openxmlformats.org/officeDocument/2006/relationships/hyperlink" Target="http://www.land.gov.il/TozaotMichrazim/resultsDetailed.aspx?id=84957&amp;rc=102&amp;tr=1693" TargetMode="External"/><Relationship Id="rId443" Type="http://schemas.openxmlformats.org/officeDocument/2006/relationships/hyperlink" Target="http://www.land.gov.il/TozaotMichrazim/resultsDetailed.aspx?id=85179&amp;rc=324&amp;tr=1693" TargetMode="External"/><Relationship Id="rId650" Type="http://schemas.openxmlformats.org/officeDocument/2006/relationships/hyperlink" Target="http://www.land.gov.il/TozaotMichrazim/resultsDetailed.aspx?id=85432&amp;rc=577&amp;tr=1693" TargetMode="External"/><Relationship Id="rId888" Type="http://schemas.openxmlformats.org/officeDocument/2006/relationships/hyperlink" Target="http://www.land.gov.il/TozaotMichrazim/resultsDetailed.aspx?id=82777&amp;rc=876&amp;tr=1693" TargetMode="External"/><Relationship Id="rId1073" Type="http://schemas.openxmlformats.org/officeDocument/2006/relationships/hyperlink" Target="http://www.land.gov.il/TozaotMichrazim/resultsDetailed.aspx?id=82997&amp;rc=1096&amp;tr=1693" TargetMode="External"/><Relationship Id="rId1280" Type="http://schemas.openxmlformats.org/officeDocument/2006/relationships/hyperlink" Target="http://www.land.gov.il/TozaotMichrazim/resultsDetailed.aspx?id=79353&amp;rc=1333&amp;tr=1693" TargetMode="External"/><Relationship Id="rId2124" Type="http://schemas.openxmlformats.org/officeDocument/2006/relationships/hyperlink" Target="http://www.land.gov.il/shivukweb/pages/Prj_gliliyam.html" TargetMode="External"/><Relationship Id="rId2331" Type="http://schemas.openxmlformats.org/officeDocument/2006/relationships/hyperlink" Target="http://www.land.gov.il/TozaotMichrazim/resultsDetailed.aspx?id=87700&amp;rc=278&amp;tr=424" TargetMode="External"/><Relationship Id="rId2569" Type="http://schemas.openxmlformats.org/officeDocument/2006/relationships/control" Target="../activeX/activeX30.xml"/><Relationship Id="rId2776" Type="http://schemas.openxmlformats.org/officeDocument/2006/relationships/control" Target="../activeX/activeX237.xml"/><Relationship Id="rId303" Type="http://schemas.openxmlformats.org/officeDocument/2006/relationships/hyperlink" Target="http://www.land.gov.il/TozaotMichrazim/resultsDetailed.aspx?id=85029&amp;rc=174&amp;tr=1693" TargetMode="External"/><Relationship Id="rId748" Type="http://schemas.openxmlformats.org/officeDocument/2006/relationships/hyperlink" Target="http://www.land.gov.il/TozaotMichrazim/resultsDetailed.aspx?id=85557&amp;rc=702&amp;tr=1693" TargetMode="External"/><Relationship Id="rId955" Type="http://schemas.openxmlformats.org/officeDocument/2006/relationships/hyperlink" Target="http://www.land.gov.il/TozaotMichrazim/resultsDetailed.aspx?id=82851&amp;rc=950&amp;tr=1693" TargetMode="External"/><Relationship Id="rId1140" Type="http://schemas.openxmlformats.org/officeDocument/2006/relationships/hyperlink" Target="http://www.land.gov.il/TozaotMichrazim/resultsDetailed.aspx?id=83073&amp;rc=1172&amp;tr=1693" TargetMode="External"/><Relationship Id="rId1378" Type="http://schemas.openxmlformats.org/officeDocument/2006/relationships/hyperlink" Target="http://www.land.gov.il/TozaotMichrazim/resultsDetailed.aspx?id=76279&amp;rc=1431&amp;tr=1693" TargetMode="External"/><Relationship Id="rId1585" Type="http://schemas.openxmlformats.org/officeDocument/2006/relationships/hyperlink" Target="http://www.land.gov.il/TozaotMichrazim/resultsDetailed.aspx?id=86481&amp;rc=72&amp;tr=674" TargetMode="External"/><Relationship Id="rId1792" Type="http://schemas.openxmlformats.org/officeDocument/2006/relationships/hyperlink" Target="http://www.land.gov.il/TozaotMichrazim/resultsDetailed.aspx?id=81375&amp;rc=308&amp;tr=674" TargetMode="External"/><Relationship Id="rId2429" Type="http://schemas.openxmlformats.org/officeDocument/2006/relationships/hyperlink" Target="http://www.land.gov.il/TozaotMichrazim/resultsDetailed.aspx?id=87312&amp;rc=405&amp;tr=424" TargetMode="External"/><Relationship Id="rId2636" Type="http://schemas.openxmlformats.org/officeDocument/2006/relationships/control" Target="../activeX/activeX97.xml"/><Relationship Id="rId84" Type="http://schemas.openxmlformats.org/officeDocument/2006/relationships/hyperlink" Target="http://www.land.gov.il/TozaotMichrazim/resultsDetailed.aspx?id=84667&amp;rc=78&amp;tr=685" TargetMode="External"/><Relationship Id="rId510" Type="http://schemas.openxmlformats.org/officeDocument/2006/relationships/hyperlink" Target="http://www.land.gov.il/TozaotMichrazim/resultsDetailed.aspx?id=85259&amp;rc=404&amp;tr=1693" TargetMode="External"/><Relationship Id="rId608" Type="http://schemas.openxmlformats.org/officeDocument/2006/relationships/hyperlink" Target="http://www.land.gov.il/TozaotMichrazim/resultsDetailed.aspx?id=85380&amp;rc=525&amp;tr=1693" TargetMode="External"/><Relationship Id="rId815" Type="http://schemas.openxmlformats.org/officeDocument/2006/relationships/hyperlink" Target="http://www.land.gov.il/TozaotMichrazim/resultsDetailed.aspx?id=82690&amp;rc=789&amp;tr=1693" TargetMode="External"/><Relationship Id="rId1238" Type="http://schemas.openxmlformats.org/officeDocument/2006/relationships/hyperlink" Target="http://www.land.gov.il/TozaotMichrazim/resultsDetailed.aspx?id=80956&amp;rc=1290&amp;tr=1693" TargetMode="External"/><Relationship Id="rId1445" Type="http://schemas.openxmlformats.org/officeDocument/2006/relationships/hyperlink" Target="http://www.land.gov.il/TozaotMichrazim/resultsDetailed.aspx?id=86266&amp;rc=34&amp;tr=421" TargetMode="External"/><Relationship Id="rId1652" Type="http://schemas.openxmlformats.org/officeDocument/2006/relationships/hyperlink" Target="http://www.land.gov.il/TozaotMichrazim/resultsDetailed.aspx?id=86548&amp;rc=139&amp;tr=674" TargetMode="External"/><Relationship Id="rId1000" Type="http://schemas.openxmlformats.org/officeDocument/2006/relationships/hyperlink" Target="http://www.land.gov.il/TozaotMichrazim/resultsDetailed.aspx?id=82909&amp;rc=1008&amp;tr=1693" TargetMode="External"/><Relationship Id="rId1305" Type="http://schemas.openxmlformats.org/officeDocument/2006/relationships/hyperlink" Target="http://www.land.gov.il/TozaotMichrazim/resultsDetailed.aspx?id=78781&amp;rc=1358&amp;tr=1693" TargetMode="External"/><Relationship Id="rId1957" Type="http://schemas.openxmlformats.org/officeDocument/2006/relationships/hyperlink" Target="http://www.land.gov.il/TozaotMichrazim/resultsDetailed.aspx?id=76991&amp;rc=493&amp;tr=674" TargetMode="External"/><Relationship Id="rId2703" Type="http://schemas.openxmlformats.org/officeDocument/2006/relationships/control" Target="../activeX/activeX164.xml"/><Relationship Id="rId1512" Type="http://schemas.openxmlformats.org/officeDocument/2006/relationships/hyperlink" Target="http://www.land.gov.il/TozaotMichrazim/resultsDetailed.aspx?id=86279&amp;rc=3&amp;tr=679" TargetMode="External"/><Relationship Id="rId1817" Type="http://schemas.openxmlformats.org/officeDocument/2006/relationships/hyperlink" Target="http://www.land.gov.il/TozaotMichrazim/resultsDetailed.aspx?id=81400&amp;rc=333&amp;tr=674" TargetMode="External"/><Relationship Id="rId11" Type="http://schemas.openxmlformats.org/officeDocument/2006/relationships/hyperlink" Target="http://www.land.gov.il/TozaotMichrazim/resultsDetailed.aspx?id=84733&amp;rc=5&amp;tr=685" TargetMode="External"/><Relationship Id="rId398" Type="http://schemas.openxmlformats.org/officeDocument/2006/relationships/hyperlink" Target="http://www.land.gov.il/TozaotMichrazim/resultsDetailed.aspx?id=85129&amp;rc=274&amp;tr=1693" TargetMode="External"/><Relationship Id="rId2079" Type="http://schemas.openxmlformats.org/officeDocument/2006/relationships/hyperlink" Target="http://www.land.gov.il/TozaotMichrazim/resultsDetailed.aspx?id=87060&amp;rc=20&amp;tr=115" TargetMode="External"/><Relationship Id="rId160" Type="http://schemas.openxmlformats.org/officeDocument/2006/relationships/hyperlink" Target="http://www.land.gov.il/TozaotMichrazim/resultsDetailed.aspx?id=86400&amp;rc=16&amp;tr=1693" TargetMode="External"/><Relationship Id="rId2286" Type="http://schemas.openxmlformats.org/officeDocument/2006/relationships/hyperlink" Target="http://www.land.gov.il/TozaotMichrazim/resultsDetailed.aspx?id=87655&amp;rc=233&amp;tr=424" TargetMode="External"/><Relationship Id="rId2493" Type="http://schemas.openxmlformats.org/officeDocument/2006/relationships/hyperlink" Target="http://www.land.gov.il/TozaotMichrazim/resultsDetailed.aspx?id=73464&amp;rc=45&amp;tr=87" TargetMode="External"/><Relationship Id="rId258" Type="http://schemas.openxmlformats.org/officeDocument/2006/relationships/hyperlink" Target="http://www.land.gov.il/TozaotMichrazim/resultsDetailed.aspx?id=84984&amp;rc=129&amp;tr=1693" TargetMode="External"/><Relationship Id="rId465" Type="http://schemas.openxmlformats.org/officeDocument/2006/relationships/hyperlink" Target="http://www.land.gov.il/TozaotMichrazim/resultsDetailed.aspx?id=85201&amp;rc=346&amp;tr=1693" TargetMode="External"/><Relationship Id="rId672" Type="http://schemas.openxmlformats.org/officeDocument/2006/relationships/hyperlink" Target="http://www.land.gov.il/TozaotMichrazim/resultsDetailed.aspx?id=85458&amp;rc=603&amp;tr=1693" TargetMode="External"/><Relationship Id="rId1095" Type="http://schemas.openxmlformats.org/officeDocument/2006/relationships/hyperlink" Target="http://www.land.gov.il/TozaotMichrazim/resultsDetailed.aspx?id=83023&amp;rc=1122&amp;tr=1693" TargetMode="External"/><Relationship Id="rId2146" Type="http://schemas.openxmlformats.org/officeDocument/2006/relationships/hyperlink" Target="http://www.land.gov.il/shivukweb/pages/Prj_modin-n.html" TargetMode="External"/><Relationship Id="rId2353" Type="http://schemas.openxmlformats.org/officeDocument/2006/relationships/hyperlink" Target="http://www.land.gov.il/TozaotMichrazim/resultsDetailed.aspx?id=87722&amp;rc=300&amp;tr=424" TargetMode="External"/><Relationship Id="rId2560" Type="http://schemas.openxmlformats.org/officeDocument/2006/relationships/control" Target="../activeX/activeX21.xml"/><Relationship Id="rId2798" Type="http://schemas.openxmlformats.org/officeDocument/2006/relationships/control" Target="../activeX/activeX259.xml"/><Relationship Id="rId118" Type="http://schemas.openxmlformats.org/officeDocument/2006/relationships/hyperlink" Target="http://www.land.gov.il/TozaotMichrazim/resultsDetailed.aspx?id=81802&amp;rc=112&amp;tr=685" TargetMode="External"/><Relationship Id="rId325" Type="http://schemas.openxmlformats.org/officeDocument/2006/relationships/hyperlink" Target="http://www.land.gov.il/TozaotMichrazim/resultsDetailed.aspx?id=85051&amp;rc=196&amp;tr=1693" TargetMode="External"/><Relationship Id="rId532" Type="http://schemas.openxmlformats.org/officeDocument/2006/relationships/hyperlink" Target="http://www.land.gov.il/TozaotMichrazim/resultsDetailed.aspx?id=85284&amp;rc=429&amp;tr=1693" TargetMode="External"/><Relationship Id="rId977" Type="http://schemas.openxmlformats.org/officeDocument/2006/relationships/hyperlink" Target="http://www.land.gov.il/TozaotMichrazim/resultsDetailed.aspx?id=82880&amp;rc=979&amp;tr=1693" TargetMode="External"/><Relationship Id="rId1162" Type="http://schemas.openxmlformats.org/officeDocument/2006/relationships/hyperlink" Target="http://www.land.gov.il/TozaotMichrazim/resultsDetailed.aspx?id=83099&amp;rc=1198&amp;tr=1693" TargetMode="External"/><Relationship Id="rId2006" Type="http://schemas.openxmlformats.org/officeDocument/2006/relationships/hyperlink" Target="http://www.land.gov.il/TozaotMichrazim/resultsDetailed.aspx?id=83633&amp;rc=30&amp;tr=440" TargetMode="External"/><Relationship Id="rId2213" Type="http://schemas.openxmlformats.org/officeDocument/2006/relationships/hyperlink" Target="http://www.land.gov.il/TozaotMichrazim/Results.aspx?NewSearch=true&amp;ynmichraz=2014&amp;anMichraz=%e7%e9&amp;Nnmichraz=340" TargetMode="External"/><Relationship Id="rId2420" Type="http://schemas.openxmlformats.org/officeDocument/2006/relationships/hyperlink" Target="http://www.land.gov.il/TozaotMichrazim/resultsDetailed.aspx?id=87344&amp;rc=388&amp;tr=424" TargetMode="External"/><Relationship Id="rId2658" Type="http://schemas.openxmlformats.org/officeDocument/2006/relationships/control" Target="../activeX/activeX119.xml"/><Relationship Id="rId837" Type="http://schemas.openxmlformats.org/officeDocument/2006/relationships/hyperlink" Target="http://www.land.gov.il/TozaotMichrazim/resultsDetailed.aspx?id=82723&amp;rc=822&amp;tr=1693" TargetMode="External"/><Relationship Id="rId1022" Type="http://schemas.openxmlformats.org/officeDocument/2006/relationships/hyperlink" Target="http://www.land.gov.il/TozaotMichrazim/resultsDetailed.aspx?id=82933&amp;rc=1032&amp;tr=1693" TargetMode="External"/><Relationship Id="rId1467" Type="http://schemas.openxmlformats.org/officeDocument/2006/relationships/hyperlink" Target="http://www.land.gov.il/TozaotMichrazim/resultsDetailed.aspx?id=81926&amp;rc=56&amp;tr=421" TargetMode="External"/><Relationship Id="rId1674" Type="http://schemas.openxmlformats.org/officeDocument/2006/relationships/hyperlink" Target="http://www.land.gov.il/TozaotMichrazim/resultsDetailed.aspx?id=84702&amp;rc=164&amp;tr=674" TargetMode="External"/><Relationship Id="rId1881" Type="http://schemas.openxmlformats.org/officeDocument/2006/relationships/hyperlink" Target="http://www.land.gov.il/TozaotMichrazim/resultsDetailed.aspx?id=79961&amp;rc=397&amp;tr=674" TargetMode="External"/><Relationship Id="rId2518" Type="http://schemas.openxmlformats.org/officeDocument/2006/relationships/hyperlink" Target="http://www.land.gov.il/TozaotMichrazim/resultsDetailed.aspx?id=71358&amp;rc=70&amp;tr=87" TargetMode="External"/><Relationship Id="rId2725" Type="http://schemas.openxmlformats.org/officeDocument/2006/relationships/control" Target="../activeX/activeX186.xml"/><Relationship Id="rId904" Type="http://schemas.openxmlformats.org/officeDocument/2006/relationships/hyperlink" Target="http://www.land.gov.il/TozaotMichrazim/resultsDetailed.aspx?id=82794&amp;rc=893&amp;tr=1693" TargetMode="External"/><Relationship Id="rId1327" Type="http://schemas.openxmlformats.org/officeDocument/2006/relationships/hyperlink" Target="http://www.land.gov.il/TozaotMichrazim/resultsDetailed.aspx?id=76228&amp;rc=1380&amp;tr=1693" TargetMode="External"/><Relationship Id="rId1534" Type="http://schemas.openxmlformats.org/officeDocument/2006/relationships/hyperlink" Target="http://www.land.gov.il/TozaotMichrazim/resultsDetailed.aspx?id=86430&amp;rc=21&amp;tr=674" TargetMode="External"/><Relationship Id="rId1741" Type="http://schemas.openxmlformats.org/officeDocument/2006/relationships/hyperlink" Target="http://www.land.gov.il/TozaotMichrazim/resultsDetailed.aspx?id=81321&amp;rc=254&amp;tr=674" TargetMode="External"/><Relationship Id="rId1979" Type="http://schemas.openxmlformats.org/officeDocument/2006/relationships/hyperlink" Target="http://www.land.gov.il/TozaotMichrazim/resultsDetailed.aspx?id=74095&amp;rc=517&amp;tr=674" TargetMode="External"/><Relationship Id="rId33" Type="http://schemas.openxmlformats.org/officeDocument/2006/relationships/hyperlink" Target="http://www.land.gov.il/TozaotMichrazim/resultsDetailed.aspx?id=84616&amp;rc=27&amp;tr=685" TargetMode="External"/><Relationship Id="rId1601" Type="http://schemas.openxmlformats.org/officeDocument/2006/relationships/hyperlink" Target="http://www.land.gov.il/TozaotMichrazim/resultsDetailed.aspx?id=86497&amp;rc=88&amp;tr=674" TargetMode="External"/><Relationship Id="rId1839" Type="http://schemas.openxmlformats.org/officeDocument/2006/relationships/hyperlink" Target="http://www.land.gov.il/TozaotMichrazim/resultsDetailed.aspx?id=79919&amp;rc=355&amp;tr=674" TargetMode="External"/><Relationship Id="rId182" Type="http://schemas.openxmlformats.org/officeDocument/2006/relationships/hyperlink" Target="http://www.land.gov.il/TozaotMichrazim/resultsDetailed.aspx?id=84902&amp;rc=47&amp;tr=1693" TargetMode="External"/><Relationship Id="rId1906" Type="http://schemas.openxmlformats.org/officeDocument/2006/relationships/hyperlink" Target="http://www.land.gov.il/TozaotMichrazim/resultsDetailed.aspx?id=79402&amp;rc=422&amp;tr=674" TargetMode="External"/><Relationship Id="rId487" Type="http://schemas.openxmlformats.org/officeDocument/2006/relationships/hyperlink" Target="http://www.land.gov.il/TozaotMichrazim/resultsDetailed.aspx?id=85224&amp;rc=369&amp;tr=1693" TargetMode="External"/><Relationship Id="rId694" Type="http://schemas.openxmlformats.org/officeDocument/2006/relationships/hyperlink" Target="http://www.land.gov.il/TozaotMichrazim/resultsDetailed.aspx?id=85481&amp;rc=626&amp;tr=1693" TargetMode="External"/><Relationship Id="rId2070" Type="http://schemas.openxmlformats.org/officeDocument/2006/relationships/hyperlink" Target="http://www.land.gov.il/TozaotMichrazim/resultsDetailed.aspx?id=87051&amp;rc=11&amp;tr=115" TargetMode="External"/><Relationship Id="rId2168" Type="http://schemas.openxmlformats.org/officeDocument/2006/relationships/hyperlink" Target="http://www.land.gov.il/PirsumMichrazim/Aspx/pirsumDetails.aspx?id=2032016%E1%F9&amp;rc=3&amp;tr=15" TargetMode="External"/><Relationship Id="rId2375" Type="http://schemas.openxmlformats.org/officeDocument/2006/relationships/hyperlink" Target="http://www.land.gov.il/TozaotMichrazim/resultsDetailed.aspx?id=87744&amp;rc=322&amp;tr=424" TargetMode="External"/><Relationship Id="rId347" Type="http://schemas.openxmlformats.org/officeDocument/2006/relationships/hyperlink" Target="http://www.land.gov.il/TozaotMichrazim/resultsDetailed.aspx?id=85073&amp;rc=218&amp;tr=1693" TargetMode="External"/><Relationship Id="rId999" Type="http://schemas.openxmlformats.org/officeDocument/2006/relationships/hyperlink" Target="http://www.land.gov.il/TozaotMichrazim/resultsDetailed.aspx?id=82908&amp;rc=1007&amp;tr=1693" TargetMode="External"/><Relationship Id="rId1184" Type="http://schemas.openxmlformats.org/officeDocument/2006/relationships/hyperlink" Target="http://www.land.gov.il/TozaotMichrazim/resultsDetailed.aspx?id=83123&amp;rc=1222&amp;tr=1693" TargetMode="External"/><Relationship Id="rId2028" Type="http://schemas.openxmlformats.org/officeDocument/2006/relationships/hyperlink" Target="http://www.land.gov.il/TozaotMichrazim/resultsDetailed.aspx?id=79129&amp;rc=54&amp;tr=440" TargetMode="External"/><Relationship Id="rId2582" Type="http://schemas.openxmlformats.org/officeDocument/2006/relationships/control" Target="../activeX/activeX43.xml"/><Relationship Id="rId554" Type="http://schemas.openxmlformats.org/officeDocument/2006/relationships/hyperlink" Target="http://www.land.gov.il/TozaotMichrazim/resultsDetailed.aspx?id=85309&amp;rc=454&amp;tr=1693" TargetMode="External"/><Relationship Id="rId761" Type="http://schemas.openxmlformats.org/officeDocument/2006/relationships/hyperlink" Target="http://www.land.gov.il/TozaotMichrazim/resultsDetailed.aspx?id=85572&amp;rc=717&amp;tr=1693" TargetMode="External"/><Relationship Id="rId859" Type="http://schemas.openxmlformats.org/officeDocument/2006/relationships/hyperlink" Target="http://www.land.gov.il/TozaotMichrazim/resultsDetailed.aspx?id=82747&amp;rc=846&amp;tr=1693" TargetMode="External"/><Relationship Id="rId1391" Type="http://schemas.openxmlformats.org/officeDocument/2006/relationships/hyperlink" Target="http://www.land.gov.il/TozaotMichrazim/resultsDetailed.aspx?id=76153&amp;rc=1446&amp;tr=1693" TargetMode="External"/><Relationship Id="rId1489" Type="http://schemas.openxmlformats.org/officeDocument/2006/relationships/hyperlink" Target="http://www.land.gov.il/TozaotMichrazim/resultsDetailed.aspx?id=80123&amp;rc=85&amp;tr=421" TargetMode="External"/><Relationship Id="rId1696" Type="http://schemas.openxmlformats.org/officeDocument/2006/relationships/hyperlink" Target="http://www.land.gov.il/TozaotMichrazim/resultsDetailed.aspx?id=81271&amp;rc=204&amp;tr=674" TargetMode="External"/><Relationship Id="rId2235" Type="http://schemas.openxmlformats.org/officeDocument/2006/relationships/hyperlink" Target="http://www.land.gov.il/TozaotMichrazim/resultsDetailed.aspx?id=87895&amp;rc=19&amp;tr=424" TargetMode="External"/><Relationship Id="rId2442" Type="http://schemas.openxmlformats.org/officeDocument/2006/relationships/hyperlink" Target="http://www.land.gov.il/TozaotMichrazim/resultsDetailed.aspx?id=87325&amp;rc=418&amp;tr=424" TargetMode="External"/><Relationship Id="rId207" Type="http://schemas.openxmlformats.org/officeDocument/2006/relationships/hyperlink" Target="http://www.land.gov.il/TozaotMichrazim/resultsDetailed.aspx?id=84928&amp;rc=73&amp;tr=1693" TargetMode="External"/><Relationship Id="rId414" Type="http://schemas.openxmlformats.org/officeDocument/2006/relationships/hyperlink" Target="http://www.land.gov.il/TozaotMichrazim/resultsDetailed.aspx?id=85150&amp;rc=295&amp;tr=1693" TargetMode="External"/><Relationship Id="rId621" Type="http://schemas.openxmlformats.org/officeDocument/2006/relationships/hyperlink" Target="http://www.land.gov.il/TozaotMichrazim/resultsDetailed.aspx?id=85396&amp;rc=541&amp;tr=1693" TargetMode="External"/><Relationship Id="rId1044" Type="http://schemas.openxmlformats.org/officeDocument/2006/relationships/hyperlink" Target="http://www.land.gov.il/TozaotMichrazim/resultsDetailed.aspx?id=82960&amp;rc=1059&amp;tr=1693" TargetMode="External"/><Relationship Id="rId1251" Type="http://schemas.openxmlformats.org/officeDocument/2006/relationships/hyperlink" Target="http://www.land.gov.il/TozaotMichrazim/resultsDetailed.aspx?id=79324&amp;rc=1304&amp;tr=1693" TargetMode="External"/><Relationship Id="rId1349" Type="http://schemas.openxmlformats.org/officeDocument/2006/relationships/hyperlink" Target="http://www.land.gov.il/TozaotMichrazim/resultsDetailed.aspx?id=76250&amp;rc=1402&amp;tr=1693" TargetMode="External"/><Relationship Id="rId2302" Type="http://schemas.openxmlformats.org/officeDocument/2006/relationships/hyperlink" Target="http://www.land.gov.il/TozaotMichrazim/resultsDetailed.aspx?id=87671&amp;rc=249&amp;tr=424" TargetMode="External"/><Relationship Id="rId2747" Type="http://schemas.openxmlformats.org/officeDocument/2006/relationships/control" Target="../activeX/activeX208.xml"/><Relationship Id="rId719" Type="http://schemas.openxmlformats.org/officeDocument/2006/relationships/hyperlink" Target="http://www.land.gov.il/TozaotMichrazim/resultsDetailed.aspx?id=85511&amp;rc=656&amp;tr=1693" TargetMode="External"/><Relationship Id="rId926" Type="http://schemas.openxmlformats.org/officeDocument/2006/relationships/hyperlink" Target="http://www.land.gov.il/TozaotMichrazim/resultsDetailed.aspx?id=82817&amp;rc=916&amp;tr=1693" TargetMode="External"/><Relationship Id="rId1111" Type="http://schemas.openxmlformats.org/officeDocument/2006/relationships/hyperlink" Target="http://www.land.gov.il/TozaotMichrazim/resultsDetailed.aspx?id=83041&amp;rc=1140&amp;tr=1693" TargetMode="External"/><Relationship Id="rId1556" Type="http://schemas.openxmlformats.org/officeDocument/2006/relationships/hyperlink" Target="http://www.land.gov.il/TozaotMichrazim/resultsDetailed.aspx?id=86452&amp;rc=43&amp;tr=674" TargetMode="External"/><Relationship Id="rId1763" Type="http://schemas.openxmlformats.org/officeDocument/2006/relationships/hyperlink" Target="http://www.land.gov.il/TozaotMichrazim/resultsDetailed.aspx?id=81343&amp;rc=276&amp;tr=674" TargetMode="External"/><Relationship Id="rId1970" Type="http://schemas.openxmlformats.org/officeDocument/2006/relationships/hyperlink" Target="http://www.land.gov.il/TozaotMichrazim/resultsDetailed.aspx?id=76731&amp;rc=507&amp;tr=674" TargetMode="External"/><Relationship Id="rId2607" Type="http://schemas.openxmlformats.org/officeDocument/2006/relationships/control" Target="../activeX/activeX68.xml"/><Relationship Id="rId55" Type="http://schemas.openxmlformats.org/officeDocument/2006/relationships/hyperlink" Target="http://www.land.gov.il/TozaotMichrazim/resultsDetailed.aspx?id=84638&amp;rc=49&amp;tr=685" TargetMode="External"/><Relationship Id="rId1209" Type="http://schemas.openxmlformats.org/officeDocument/2006/relationships/hyperlink" Target="http://www.land.gov.il/TozaotMichrazim/resultsDetailed.aspx?id=83150&amp;rc=1249&amp;tr=1693" TargetMode="External"/><Relationship Id="rId1416" Type="http://schemas.openxmlformats.org/officeDocument/2006/relationships/hyperlink" Target="http://www.land.gov.il/TozaotMichrazim/resultsDetailed.aspx?id=87229&amp;rc=3&amp;tr=421" TargetMode="External"/><Relationship Id="rId1623" Type="http://schemas.openxmlformats.org/officeDocument/2006/relationships/hyperlink" Target="http://www.land.gov.il/TozaotMichrazim/resultsDetailed.aspx?id=86519&amp;rc=110&amp;tr=674" TargetMode="External"/><Relationship Id="rId1830" Type="http://schemas.openxmlformats.org/officeDocument/2006/relationships/hyperlink" Target="http://www.land.gov.il/TozaotMichrazim/resultsDetailed.aspx?id=81413&amp;rc=346&amp;tr=674" TargetMode="External"/><Relationship Id="rId1928" Type="http://schemas.openxmlformats.org/officeDocument/2006/relationships/hyperlink" Target="http://www.land.gov.il/TozaotMichrazim/resultsDetailed.aspx?id=76957&amp;rc=459&amp;tr=674" TargetMode="External"/><Relationship Id="rId2092" Type="http://schemas.openxmlformats.org/officeDocument/2006/relationships/hyperlink" Target="http://www.land.gov.il/TozaotMichrazim/resultsDetailed.aspx?id=84824&amp;rc=8&amp;tr=100" TargetMode="External"/><Relationship Id="rId271" Type="http://schemas.openxmlformats.org/officeDocument/2006/relationships/hyperlink" Target="http://www.land.gov.il/TozaotMichrazim/resultsDetailed.aspx?id=84997&amp;rc=142&amp;tr=1693" TargetMode="External"/><Relationship Id="rId2397" Type="http://schemas.openxmlformats.org/officeDocument/2006/relationships/hyperlink" Target="http://www.land.gov.il/TozaotMichrazim/resultsDetailed.aspx?id=87302&amp;rc=348&amp;tr=424" TargetMode="External"/><Relationship Id="rId131" Type="http://schemas.openxmlformats.org/officeDocument/2006/relationships/hyperlink" Target="http://www.land.gov.il/TozaotMichrazim/resultsDetailed.aspx?id=79109&amp;rc=127&amp;tr=685" TargetMode="External"/><Relationship Id="rId369" Type="http://schemas.openxmlformats.org/officeDocument/2006/relationships/hyperlink" Target="http://www.land.gov.il/TozaotMichrazim/resultsDetailed.aspx?id=85095&amp;rc=240&amp;tr=1693" TargetMode="External"/><Relationship Id="rId576" Type="http://schemas.openxmlformats.org/officeDocument/2006/relationships/hyperlink" Target="http://www.land.gov.il/TozaotMichrazim/resultsDetailed.aspx?id=85334&amp;rc=479&amp;tr=1693" TargetMode="External"/><Relationship Id="rId783" Type="http://schemas.openxmlformats.org/officeDocument/2006/relationships/hyperlink" Target="http://www.land.gov.il/TozaotMichrazim/resultsDetailed.aspx?id=82648&amp;rc=747&amp;tr=1693" TargetMode="External"/><Relationship Id="rId990" Type="http://schemas.openxmlformats.org/officeDocument/2006/relationships/hyperlink" Target="http://www.land.gov.il/TozaotMichrazim/resultsDetailed.aspx?id=82897&amp;rc=996&amp;tr=1693" TargetMode="External"/><Relationship Id="rId2257" Type="http://schemas.openxmlformats.org/officeDocument/2006/relationships/hyperlink" Target="http://www.land.gov.il/TozaotMichrazim/resultsDetailed.aspx?id=87762&amp;rc=202&amp;tr=424" TargetMode="External"/><Relationship Id="rId2464" Type="http://schemas.openxmlformats.org/officeDocument/2006/relationships/hyperlink" Target="http://www.land.gov.il/TozaotMichrazim/resultsDetailed.aspx?id=85588&amp;rc=16&amp;tr=87" TargetMode="External"/><Relationship Id="rId2671" Type="http://schemas.openxmlformats.org/officeDocument/2006/relationships/control" Target="../activeX/activeX132.xml"/><Relationship Id="rId229" Type="http://schemas.openxmlformats.org/officeDocument/2006/relationships/hyperlink" Target="http://www.land.gov.il/TozaotMichrazim/resultsDetailed.aspx?id=84950&amp;rc=95&amp;tr=1693" TargetMode="External"/><Relationship Id="rId436" Type="http://schemas.openxmlformats.org/officeDocument/2006/relationships/hyperlink" Target="http://www.land.gov.il/TozaotMichrazim/resultsDetailed.aspx?id=85172&amp;rc=317&amp;tr=1693" TargetMode="External"/><Relationship Id="rId643" Type="http://schemas.openxmlformats.org/officeDocument/2006/relationships/hyperlink" Target="http://www.land.gov.il/TozaotMichrazim/resultsDetailed.aspx?id=85424&amp;rc=569&amp;tr=1693" TargetMode="External"/><Relationship Id="rId1066" Type="http://schemas.openxmlformats.org/officeDocument/2006/relationships/hyperlink" Target="http://www.land.gov.il/TozaotMichrazim/resultsDetailed.aspx?id=82987&amp;rc=1086&amp;tr=1693" TargetMode="External"/><Relationship Id="rId1273" Type="http://schemas.openxmlformats.org/officeDocument/2006/relationships/hyperlink" Target="http://www.land.gov.il/TozaotMichrazim/resultsDetailed.aspx?id=79346&amp;rc=1326&amp;tr=1693" TargetMode="External"/><Relationship Id="rId1480" Type="http://schemas.openxmlformats.org/officeDocument/2006/relationships/hyperlink" Target="http://www.land.gov.il/TozaotMichrazim/resultsDetailed.aspx?id=80114&amp;rc=76&amp;tr=421" TargetMode="External"/><Relationship Id="rId1939" Type="http://schemas.openxmlformats.org/officeDocument/2006/relationships/hyperlink" Target="http://www.land.gov.il/TozaotMichrazim/resultsDetailed.aspx?id=76972&amp;rc=474&amp;tr=674" TargetMode="External"/><Relationship Id="rId2117" Type="http://schemas.openxmlformats.org/officeDocument/2006/relationships/hyperlink" Target="http://www.land.gov.il/PirsumMichrazim/Aspx/pirsumDetails.aspx?id=2282016%EE%F8&amp;rc=4&amp;tr=6" TargetMode="External"/><Relationship Id="rId2324" Type="http://schemas.openxmlformats.org/officeDocument/2006/relationships/hyperlink" Target="http://www.land.gov.il/TozaotMichrazim/resultsDetailed.aspx?id=87693&amp;rc=271&amp;tr=424" TargetMode="External"/><Relationship Id="rId2769" Type="http://schemas.openxmlformats.org/officeDocument/2006/relationships/control" Target="../activeX/activeX230.xml"/><Relationship Id="rId850" Type="http://schemas.openxmlformats.org/officeDocument/2006/relationships/hyperlink" Target="http://www.land.gov.il/TozaotMichrazim/resultsDetailed.aspx?id=82737&amp;rc=836&amp;tr=1693" TargetMode="External"/><Relationship Id="rId948" Type="http://schemas.openxmlformats.org/officeDocument/2006/relationships/hyperlink" Target="http://www.land.gov.il/TozaotMichrazim/resultsDetailed.aspx?id=82842&amp;rc=941&amp;tr=1693" TargetMode="External"/><Relationship Id="rId1133" Type="http://schemas.openxmlformats.org/officeDocument/2006/relationships/hyperlink" Target="http://www.land.gov.il/TozaotMichrazim/resultsDetailed.aspx?id=83064&amp;rc=1163&amp;tr=1693" TargetMode="External"/><Relationship Id="rId1578" Type="http://schemas.openxmlformats.org/officeDocument/2006/relationships/hyperlink" Target="http://www.land.gov.il/TozaotMichrazim/resultsDetailed.aspx?id=86474&amp;rc=65&amp;tr=674" TargetMode="External"/><Relationship Id="rId1701" Type="http://schemas.openxmlformats.org/officeDocument/2006/relationships/hyperlink" Target="http://www.land.gov.il/TozaotMichrazim/resultsDetailed.aspx?id=81277&amp;rc=210&amp;tr=674" TargetMode="External"/><Relationship Id="rId1785" Type="http://schemas.openxmlformats.org/officeDocument/2006/relationships/hyperlink" Target="http://www.land.gov.il/TozaotMichrazim/resultsDetailed.aspx?id=81367&amp;rc=300&amp;tr=674" TargetMode="External"/><Relationship Id="rId1992" Type="http://schemas.openxmlformats.org/officeDocument/2006/relationships/hyperlink" Target="http://www.land.gov.il/TozaotMichrazim/resultsDetailed.aspx?id=86733&amp;rc=13&amp;tr=440" TargetMode="External"/><Relationship Id="rId2531" Type="http://schemas.openxmlformats.org/officeDocument/2006/relationships/hyperlink" Target="http://www.land.gov.il/TozaotMichrazim/resultsDetailed.aspx?id=57058&amp;rc=83&amp;tr=87" TargetMode="External"/><Relationship Id="rId2629" Type="http://schemas.openxmlformats.org/officeDocument/2006/relationships/control" Target="../activeX/activeX90.xml"/><Relationship Id="rId77" Type="http://schemas.openxmlformats.org/officeDocument/2006/relationships/hyperlink" Target="http://www.land.gov.il/TozaotMichrazim/resultsDetailed.aspx?id=84660&amp;rc=71&amp;tr=685" TargetMode="External"/><Relationship Id="rId282" Type="http://schemas.openxmlformats.org/officeDocument/2006/relationships/hyperlink" Target="http://www.land.gov.il/TozaotMichrazim/resultsDetailed.aspx?id=85008&amp;rc=153&amp;tr=1693" TargetMode="External"/><Relationship Id="rId503" Type="http://schemas.openxmlformats.org/officeDocument/2006/relationships/hyperlink" Target="http://www.land.gov.il/TozaotMichrazim/resultsDetailed.aspx?id=85250&amp;rc=395&amp;tr=1693" TargetMode="External"/><Relationship Id="rId587" Type="http://schemas.openxmlformats.org/officeDocument/2006/relationships/hyperlink" Target="http://www.land.gov.il/TozaotMichrazim/resultsDetailed.aspx?id=85346&amp;rc=491&amp;tr=1693" TargetMode="External"/><Relationship Id="rId710" Type="http://schemas.openxmlformats.org/officeDocument/2006/relationships/hyperlink" Target="http://www.land.gov.il/TozaotMichrazim/resultsDetailed.aspx?id=85500&amp;rc=645&amp;tr=1693" TargetMode="External"/><Relationship Id="rId808" Type="http://schemas.openxmlformats.org/officeDocument/2006/relationships/hyperlink" Target="http://www.land.gov.il/TozaotMichrazim/resultsDetailed.aspx?id=82682&amp;rc=781&amp;tr=1693" TargetMode="External"/><Relationship Id="rId1340" Type="http://schemas.openxmlformats.org/officeDocument/2006/relationships/hyperlink" Target="http://www.land.gov.il/TozaotMichrazim/resultsDetailed.aspx?id=76241&amp;rc=1393&amp;tr=1693" TargetMode="External"/><Relationship Id="rId1438" Type="http://schemas.openxmlformats.org/officeDocument/2006/relationships/hyperlink" Target="http://www.land.gov.il/TozaotMichrazim/resultsDetailed.aspx?id=87251&amp;rc=25&amp;tr=421" TargetMode="External"/><Relationship Id="rId1645" Type="http://schemas.openxmlformats.org/officeDocument/2006/relationships/hyperlink" Target="http://www.land.gov.il/TozaotMichrazim/resultsDetailed.aspx?id=86541&amp;rc=132&amp;tr=674" TargetMode="External"/><Relationship Id="rId2170" Type="http://schemas.openxmlformats.org/officeDocument/2006/relationships/hyperlink" Target="http://www.land.gov.il/PirsumMichrazim/Aspx/pirsumDetails.aspx?id=3532016%EE%F8&amp;rc=4&amp;tr=5" TargetMode="External"/><Relationship Id="rId2268" Type="http://schemas.openxmlformats.org/officeDocument/2006/relationships/hyperlink" Target="http://www.land.gov.il/TozaotMichrazim/resultsDetailed.aspx?id=87775&amp;rc=214&amp;tr=424" TargetMode="External"/><Relationship Id="rId8" Type="http://schemas.openxmlformats.org/officeDocument/2006/relationships/hyperlink" Target="http://www.land.gov.il/TozaotMichrazim/resultsDetailed.aspx?id=87111&amp;rc=2&amp;tr=685" TargetMode="External"/><Relationship Id="rId142" Type="http://schemas.openxmlformats.org/officeDocument/2006/relationships/hyperlink" Target="http://www.land.gov.il/TozaotMichrazim/resultsDetailed.aspx?id=76557&amp;rc=144&amp;tr=685" TargetMode="External"/><Relationship Id="rId447" Type="http://schemas.openxmlformats.org/officeDocument/2006/relationships/hyperlink" Target="http://www.land.gov.il/TozaotMichrazim/resultsDetailed.aspx?id=85183&amp;rc=328&amp;tr=1693" TargetMode="External"/><Relationship Id="rId794" Type="http://schemas.openxmlformats.org/officeDocument/2006/relationships/hyperlink" Target="http://www.land.gov.il/TozaotMichrazim/resultsDetailed.aspx?id=82661&amp;rc=760&amp;tr=1693" TargetMode="External"/><Relationship Id="rId1077" Type="http://schemas.openxmlformats.org/officeDocument/2006/relationships/hyperlink" Target="http://www.land.gov.il/TozaotMichrazim/resultsDetailed.aspx?id=83003&amp;rc=1102&amp;tr=1693" TargetMode="External"/><Relationship Id="rId1200" Type="http://schemas.openxmlformats.org/officeDocument/2006/relationships/hyperlink" Target="http://www.land.gov.il/TozaotMichrazim/resultsDetailed.aspx?id=83140&amp;rc=1239&amp;tr=1693" TargetMode="External"/><Relationship Id="rId1852" Type="http://schemas.openxmlformats.org/officeDocument/2006/relationships/hyperlink" Target="http://www.land.gov.il/TozaotMichrazim/resultsDetailed.aspx?id=79932&amp;rc=368&amp;tr=674" TargetMode="External"/><Relationship Id="rId2030" Type="http://schemas.openxmlformats.org/officeDocument/2006/relationships/hyperlink" Target="http://www.land.gov.il/TozaotMichrazim/resultsDetailed.aspx?id=79131&amp;rc=56&amp;tr=440" TargetMode="External"/><Relationship Id="rId2128" Type="http://schemas.openxmlformats.org/officeDocument/2006/relationships/hyperlink" Target="http://www.land.gov.il/IturTabot2/taba1.aspx?MisTochnit=%u05EA%u05DE%u05DC/1006&amp;Ishuv=7100" TargetMode="External"/><Relationship Id="rId2475" Type="http://schemas.openxmlformats.org/officeDocument/2006/relationships/hyperlink" Target="http://www.land.gov.il/TozaotMichrazim/resultsDetailed.aspx?id=84586&amp;rc=27&amp;tr=87" TargetMode="External"/><Relationship Id="rId2682" Type="http://schemas.openxmlformats.org/officeDocument/2006/relationships/control" Target="../activeX/activeX143.xml"/><Relationship Id="rId654" Type="http://schemas.openxmlformats.org/officeDocument/2006/relationships/hyperlink" Target="http://www.land.gov.il/TozaotMichrazim/resultsDetailed.aspx?id=85437&amp;rc=582&amp;tr=1693" TargetMode="External"/><Relationship Id="rId861" Type="http://schemas.openxmlformats.org/officeDocument/2006/relationships/hyperlink" Target="http://www.land.gov.il/TozaotMichrazim/resultsDetailed.aspx?id=82749&amp;rc=848&amp;tr=1693" TargetMode="External"/><Relationship Id="rId959" Type="http://schemas.openxmlformats.org/officeDocument/2006/relationships/hyperlink" Target="http://www.land.gov.il/TozaotMichrazim/resultsDetailed.aspx?id=82855&amp;rc=954&amp;tr=1693" TargetMode="External"/><Relationship Id="rId1284" Type="http://schemas.openxmlformats.org/officeDocument/2006/relationships/hyperlink" Target="http://www.land.gov.il/TozaotMichrazim/resultsDetailed.aspx?id=79357&amp;rc=1337&amp;tr=1693" TargetMode="External"/><Relationship Id="rId1491" Type="http://schemas.openxmlformats.org/officeDocument/2006/relationships/hyperlink" Target="http://www.land.gov.il/TozaotMichrazim/resultsDetailed.aspx?id=80125&amp;rc=87&amp;tr=421" TargetMode="External"/><Relationship Id="rId1505" Type="http://schemas.openxmlformats.org/officeDocument/2006/relationships/hyperlink" Target="http://www.land.gov.il/TozaotMichrazim/resultsDetailed.aspx?id=80139&amp;rc=101&amp;tr=421" TargetMode="External"/><Relationship Id="rId1589" Type="http://schemas.openxmlformats.org/officeDocument/2006/relationships/hyperlink" Target="http://www.land.gov.il/TozaotMichrazim/resultsDetailed.aspx?id=86485&amp;rc=76&amp;tr=674" TargetMode="External"/><Relationship Id="rId1712" Type="http://schemas.openxmlformats.org/officeDocument/2006/relationships/hyperlink" Target="http://www.land.gov.il/TozaotMichrazim/resultsDetailed.aspx?id=81291&amp;rc=224&amp;tr=674" TargetMode="External"/><Relationship Id="rId2335" Type="http://schemas.openxmlformats.org/officeDocument/2006/relationships/hyperlink" Target="http://www.land.gov.il/TozaotMichrazim/resultsDetailed.aspx?id=87704&amp;rc=282&amp;tr=424" TargetMode="External"/><Relationship Id="rId2542" Type="http://schemas.openxmlformats.org/officeDocument/2006/relationships/control" Target="../activeX/activeX3.xml"/><Relationship Id="rId293" Type="http://schemas.openxmlformats.org/officeDocument/2006/relationships/hyperlink" Target="http://www.land.gov.il/TozaotMichrazim/resultsDetailed.aspx?id=85019&amp;rc=164&amp;tr=1693" TargetMode="External"/><Relationship Id="rId307" Type="http://schemas.openxmlformats.org/officeDocument/2006/relationships/hyperlink" Target="http://www.land.gov.il/TozaotMichrazim/resultsDetailed.aspx?id=85033&amp;rc=178&amp;tr=1693" TargetMode="External"/><Relationship Id="rId514" Type="http://schemas.openxmlformats.org/officeDocument/2006/relationships/hyperlink" Target="http://www.land.gov.il/TozaotMichrazim/resultsDetailed.aspx?id=85263&amp;rc=408&amp;tr=1693" TargetMode="External"/><Relationship Id="rId721" Type="http://schemas.openxmlformats.org/officeDocument/2006/relationships/hyperlink" Target="http://www.land.gov.il/TozaotMichrazim/resultsDetailed.aspx?id=85513&amp;rc=658&amp;tr=1693" TargetMode="External"/><Relationship Id="rId1144" Type="http://schemas.openxmlformats.org/officeDocument/2006/relationships/hyperlink" Target="http://www.land.gov.il/TozaotMichrazim/resultsDetailed.aspx?id=83077&amp;rc=1176&amp;tr=1693" TargetMode="External"/><Relationship Id="rId1351" Type="http://schemas.openxmlformats.org/officeDocument/2006/relationships/hyperlink" Target="http://www.land.gov.il/TozaotMichrazim/resultsDetailed.aspx?id=76252&amp;rc=1404&amp;tr=1693" TargetMode="External"/><Relationship Id="rId1449" Type="http://schemas.openxmlformats.org/officeDocument/2006/relationships/hyperlink" Target="http://www.land.gov.il/TozaotMichrazim/resultsDetailed.aspx?id=86270&amp;rc=38&amp;tr=421" TargetMode="External"/><Relationship Id="rId1796" Type="http://schemas.openxmlformats.org/officeDocument/2006/relationships/hyperlink" Target="http://www.land.gov.il/TozaotMichrazim/resultsDetailed.aspx?id=81379&amp;rc=312&amp;tr=674" TargetMode="External"/><Relationship Id="rId2181" Type="http://schemas.openxmlformats.org/officeDocument/2006/relationships/hyperlink" Target="http://www.land.gov.il/PirsumMichrazim/Aspx/pirsumDetails.aspx?id=2432016%EE%F8&amp;rc=4&amp;tr=6" TargetMode="External"/><Relationship Id="rId2402" Type="http://schemas.openxmlformats.org/officeDocument/2006/relationships/hyperlink" Target="http://www.land.gov.il/TozaotMichrazim/resultsDetailed.aspx?id=87307&amp;rc=353&amp;tr=424" TargetMode="External"/><Relationship Id="rId88" Type="http://schemas.openxmlformats.org/officeDocument/2006/relationships/hyperlink" Target="http://www.land.gov.il/TozaotMichrazim/resultsDetailed.aspx?id=84671&amp;rc=82&amp;tr=685" TargetMode="External"/><Relationship Id="rId153" Type="http://schemas.openxmlformats.org/officeDocument/2006/relationships/hyperlink" Target="http://www.land.gov.il/TozaotMichrazim/resultsDetailed.aspx?id=76568&amp;rc=155&amp;tr=685" TargetMode="External"/><Relationship Id="rId360" Type="http://schemas.openxmlformats.org/officeDocument/2006/relationships/hyperlink" Target="http://www.land.gov.il/TozaotMichrazim/resultsDetailed.aspx?id=85086&amp;rc=231&amp;tr=1693" TargetMode="External"/><Relationship Id="rId598" Type="http://schemas.openxmlformats.org/officeDocument/2006/relationships/hyperlink" Target="http://www.land.gov.il/TozaotMichrazim/resultsDetailed.aspx?id=85368&amp;rc=513&amp;tr=1693" TargetMode="External"/><Relationship Id="rId819" Type="http://schemas.openxmlformats.org/officeDocument/2006/relationships/hyperlink" Target="http://www.land.gov.il/TozaotMichrazim/resultsDetailed.aspx?id=82698&amp;rc=797&amp;tr=1693" TargetMode="External"/><Relationship Id="rId1004" Type="http://schemas.openxmlformats.org/officeDocument/2006/relationships/hyperlink" Target="http://www.land.gov.il/TozaotMichrazim/resultsDetailed.aspx?id=82914&amp;rc=1013&amp;tr=1693" TargetMode="External"/><Relationship Id="rId1211" Type="http://schemas.openxmlformats.org/officeDocument/2006/relationships/hyperlink" Target="http://www.land.gov.il/TozaotMichrazim/resultsDetailed.aspx?id=83152&amp;rc=1251&amp;tr=1693" TargetMode="External"/><Relationship Id="rId1656" Type="http://schemas.openxmlformats.org/officeDocument/2006/relationships/hyperlink" Target="http://www.land.gov.il/TozaotMichrazim/resultsDetailed.aspx?id=86388&amp;rc=143&amp;tr=674" TargetMode="External"/><Relationship Id="rId1863" Type="http://schemas.openxmlformats.org/officeDocument/2006/relationships/hyperlink" Target="http://www.land.gov.il/TozaotMichrazim/resultsDetailed.aspx?id=79943&amp;rc=379&amp;tr=674" TargetMode="External"/><Relationship Id="rId2041" Type="http://schemas.openxmlformats.org/officeDocument/2006/relationships/hyperlink" Target="http://www.land.gov.il/TozaotMichrazim/resultsDetailed.aspx?id=79142&amp;rc=67&amp;tr=440" TargetMode="External"/><Relationship Id="rId2279" Type="http://schemas.openxmlformats.org/officeDocument/2006/relationships/hyperlink" Target="http://www.land.gov.il/TozaotMichrazim/resultsDetailed.aspx?id=87648&amp;rc=226&amp;tr=424" TargetMode="External"/><Relationship Id="rId2486" Type="http://schemas.openxmlformats.org/officeDocument/2006/relationships/hyperlink" Target="http://www.land.gov.il/TozaotMichrazim/resultsDetailed.aspx?id=81169&amp;rc=38&amp;tr=87" TargetMode="External"/><Relationship Id="rId2693" Type="http://schemas.openxmlformats.org/officeDocument/2006/relationships/control" Target="../activeX/activeX154.xml"/><Relationship Id="rId2707" Type="http://schemas.openxmlformats.org/officeDocument/2006/relationships/control" Target="../activeX/activeX168.xml"/><Relationship Id="rId220" Type="http://schemas.openxmlformats.org/officeDocument/2006/relationships/hyperlink" Target="http://www.land.gov.il/TozaotMichrazim/resultsDetailed.aspx?id=84941&amp;rc=86&amp;tr=1693" TargetMode="External"/><Relationship Id="rId458" Type="http://schemas.openxmlformats.org/officeDocument/2006/relationships/hyperlink" Target="http://www.land.gov.il/TozaotMichrazim/resultsDetailed.aspx?id=85194&amp;rc=339&amp;tr=1693" TargetMode="External"/><Relationship Id="rId665" Type="http://schemas.openxmlformats.org/officeDocument/2006/relationships/hyperlink" Target="http://www.land.gov.il/TozaotMichrazim/resultsDetailed.aspx?id=85449&amp;rc=594&amp;tr=1693" TargetMode="External"/><Relationship Id="rId872" Type="http://schemas.openxmlformats.org/officeDocument/2006/relationships/hyperlink" Target="http://www.land.gov.il/TozaotMichrazim/resultsDetailed.aspx?id=82760&amp;rc=859&amp;tr=1693" TargetMode="External"/><Relationship Id="rId1088" Type="http://schemas.openxmlformats.org/officeDocument/2006/relationships/hyperlink" Target="http://www.land.gov.il/TozaotMichrazim/resultsDetailed.aspx?id=83016&amp;rc=1115&amp;tr=1693" TargetMode="External"/><Relationship Id="rId1295" Type="http://schemas.openxmlformats.org/officeDocument/2006/relationships/hyperlink" Target="http://www.land.gov.il/TozaotMichrazim/resultsDetailed.aspx?id=79040&amp;rc=1348&amp;tr=1693" TargetMode="External"/><Relationship Id="rId1309" Type="http://schemas.openxmlformats.org/officeDocument/2006/relationships/hyperlink" Target="http://www.land.gov.il/TozaotMichrazim/resultsDetailed.aspx?id=78785&amp;rc=1362&amp;tr=1693" TargetMode="External"/><Relationship Id="rId1516" Type="http://schemas.openxmlformats.org/officeDocument/2006/relationships/hyperlink" Target="http://www.land.gov.il/TozaotMichrazim/resultsDetailed.aspx?id=86659&amp;rc=3&amp;tr=674" TargetMode="External"/><Relationship Id="rId1723" Type="http://schemas.openxmlformats.org/officeDocument/2006/relationships/hyperlink" Target="http://www.land.gov.il/TozaotMichrazim/resultsDetailed.aspx?id=81302&amp;rc=235&amp;tr=674" TargetMode="External"/><Relationship Id="rId1930" Type="http://schemas.openxmlformats.org/officeDocument/2006/relationships/hyperlink" Target="http://www.land.gov.il/TozaotMichrazim/resultsDetailed.aspx?id=76959&amp;rc=461&amp;tr=674" TargetMode="External"/><Relationship Id="rId2139" Type="http://schemas.openxmlformats.org/officeDocument/2006/relationships/hyperlink" Target="http://www.land.gov.il/PirsumMichrazim/Aspx/pirsumDetails.aspx?id=3532016%EE%F8&amp;rc=4&amp;tr=5" TargetMode="External"/><Relationship Id="rId2346" Type="http://schemas.openxmlformats.org/officeDocument/2006/relationships/hyperlink" Target="http://www.land.gov.il/TozaotMichrazim/resultsDetailed.aspx?id=87715&amp;rc=293&amp;tr=424" TargetMode="External"/><Relationship Id="rId2553" Type="http://schemas.openxmlformats.org/officeDocument/2006/relationships/control" Target="../activeX/activeX14.xml"/><Relationship Id="rId2760" Type="http://schemas.openxmlformats.org/officeDocument/2006/relationships/control" Target="../activeX/activeX221.xml"/><Relationship Id="rId15" Type="http://schemas.openxmlformats.org/officeDocument/2006/relationships/hyperlink" Target="http://www.land.gov.il/TozaotMichrazim/resultsDetailed.aspx?id=84737&amp;rc=9&amp;tr=685" TargetMode="External"/><Relationship Id="rId318" Type="http://schemas.openxmlformats.org/officeDocument/2006/relationships/hyperlink" Target="http://www.land.gov.il/TozaotMichrazim/resultsDetailed.aspx?id=85044&amp;rc=189&amp;tr=1693" TargetMode="External"/><Relationship Id="rId525" Type="http://schemas.openxmlformats.org/officeDocument/2006/relationships/hyperlink" Target="http://www.land.gov.il/TozaotMichrazim/resultsDetailed.aspx?id=85277&amp;rc=422&amp;tr=1693" TargetMode="External"/><Relationship Id="rId732" Type="http://schemas.openxmlformats.org/officeDocument/2006/relationships/hyperlink" Target="http://www.land.gov.il/TozaotMichrazim/resultsDetailed.aspx?id=85534&amp;rc=679&amp;tr=1693" TargetMode="External"/><Relationship Id="rId1155" Type="http://schemas.openxmlformats.org/officeDocument/2006/relationships/hyperlink" Target="http://www.land.gov.il/TozaotMichrazim/resultsDetailed.aspx?id=83090&amp;rc=1189&amp;tr=1693" TargetMode="External"/><Relationship Id="rId1362" Type="http://schemas.openxmlformats.org/officeDocument/2006/relationships/hyperlink" Target="http://www.land.gov.il/TozaotMichrazim/resultsDetailed.aspx?id=76263&amp;rc=1415&amp;tr=1693" TargetMode="External"/><Relationship Id="rId2192" Type="http://schemas.openxmlformats.org/officeDocument/2006/relationships/hyperlink" Target="http://www.land.gov.il/PirsumMichrazim/Aspx/pirsumDetails.aspx?id=%20772015%E1%F9&amp;rc=12&amp;tr=196" TargetMode="External"/><Relationship Id="rId2206" Type="http://schemas.openxmlformats.org/officeDocument/2006/relationships/hyperlink" Target="http://www.land.gov.il/PirsumMichrazim/Aspx/pirsumDetails.aspx?id=2722015%E7%E9&amp;rc=3&amp;tr=49" TargetMode="External"/><Relationship Id="rId2413" Type="http://schemas.openxmlformats.org/officeDocument/2006/relationships/hyperlink" Target="http://www.land.gov.il/TozaotMichrazim/resultsDetailed.aspx?id=87337&amp;rc=381&amp;tr=424" TargetMode="External"/><Relationship Id="rId2620" Type="http://schemas.openxmlformats.org/officeDocument/2006/relationships/control" Target="../activeX/activeX81.xml"/><Relationship Id="rId99" Type="http://schemas.openxmlformats.org/officeDocument/2006/relationships/hyperlink" Target="http://www.land.gov.il/TozaotMichrazim/resultsDetailed.aspx?id=84682&amp;rc=93&amp;tr=685" TargetMode="External"/><Relationship Id="rId164" Type="http://schemas.openxmlformats.org/officeDocument/2006/relationships/hyperlink" Target="http://www.land.gov.il/TozaotMichrazim/resultsDetailed.aspx?id=84884&amp;rc=29&amp;tr=1693" TargetMode="External"/><Relationship Id="rId371" Type="http://schemas.openxmlformats.org/officeDocument/2006/relationships/hyperlink" Target="http://www.land.gov.il/TozaotMichrazim/resultsDetailed.aspx?id=85097&amp;rc=242&amp;tr=1693" TargetMode="External"/><Relationship Id="rId1015" Type="http://schemas.openxmlformats.org/officeDocument/2006/relationships/hyperlink" Target="http://www.land.gov.il/TozaotMichrazim/resultsDetailed.aspx?id=82926&amp;rc=1025&amp;tr=1693" TargetMode="External"/><Relationship Id="rId1222" Type="http://schemas.openxmlformats.org/officeDocument/2006/relationships/hyperlink" Target="http://www.land.gov.il/TozaotMichrazim/resultsDetailed.aspx?id=83173&amp;rc=1272&amp;tr=1693" TargetMode="External"/><Relationship Id="rId1667" Type="http://schemas.openxmlformats.org/officeDocument/2006/relationships/hyperlink" Target="http://www.land.gov.il/TozaotMichrazim/resultsDetailed.aspx?id=84695&amp;rc=157&amp;tr=674" TargetMode="External"/><Relationship Id="rId1874" Type="http://schemas.openxmlformats.org/officeDocument/2006/relationships/hyperlink" Target="http://www.land.gov.il/TozaotMichrazim/resultsDetailed.aspx?id=79954&amp;rc=390&amp;tr=674" TargetMode="External"/><Relationship Id="rId2052" Type="http://schemas.openxmlformats.org/officeDocument/2006/relationships/hyperlink" Target="http://www.land.gov.il/TozaotMichrazim/resultsDetailed.aspx?id=86703&amp;rc=1&amp;tr=177" TargetMode="External"/><Relationship Id="rId2497" Type="http://schemas.openxmlformats.org/officeDocument/2006/relationships/hyperlink" Target="http://www.land.gov.il/TozaotMichrazim/resultsDetailed.aspx?id=71524&amp;rc=49&amp;tr=87" TargetMode="External"/><Relationship Id="rId2718" Type="http://schemas.openxmlformats.org/officeDocument/2006/relationships/control" Target="../activeX/activeX179.xml"/><Relationship Id="rId469" Type="http://schemas.openxmlformats.org/officeDocument/2006/relationships/hyperlink" Target="http://www.land.gov.il/TozaotMichrazim/resultsDetailed.aspx?id=85205&amp;rc=350&amp;tr=1693" TargetMode="External"/><Relationship Id="rId676" Type="http://schemas.openxmlformats.org/officeDocument/2006/relationships/hyperlink" Target="http://www.land.gov.il/TozaotMichrazim/resultsDetailed.aspx?id=85462&amp;rc=607&amp;tr=1693" TargetMode="External"/><Relationship Id="rId883" Type="http://schemas.openxmlformats.org/officeDocument/2006/relationships/hyperlink" Target="http://www.land.gov.il/TozaotMichrazim/resultsDetailed.aspx?id=82772&amp;rc=871&amp;tr=1693" TargetMode="External"/><Relationship Id="rId1099" Type="http://schemas.openxmlformats.org/officeDocument/2006/relationships/hyperlink" Target="http://www.land.gov.il/TozaotMichrazim/resultsDetailed.aspx?id=83027&amp;rc=1126&amp;tr=1693" TargetMode="External"/><Relationship Id="rId1527" Type="http://schemas.openxmlformats.org/officeDocument/2006/relationships/hyperlink" Target="http://www.land.gov.il/TozaotMichrazim/resultsDetailed.aspx?id=86423&amp;rc=14&amp;tr=674" TargetMode="External"/><Relationship Id="rId1734" Type="http://schemas.openxmlformats.org/officeDocument/2006/relationships/hyperlink" Target="http://www.land.gov.il/TozaotMichrazim/resultsDetailed.aspx?id=81314&amp;rc=247&amp;tr=674" TargetMode="External"/><Relationship Id="rId1941" Type="http://schemas.openxmlformats.org/officeDocument/2006/relationships/hyperlink" Target="http://www.land.gov.il/TozaotMichrazim/resultsDetailed.aspx?id=76975&amp;rc=477&amp;tr=674" TargetMode="External"/><Relationship Id="rId2357" Type="http://schemas.openxmlformats.org/officeDocument/2006/relationships/hyperlink" Target="http://www.land.gov.il/TozaotMichrazim/resultsDetailed.aspx?id=87726&amp;rc=304&amp;tr=424" TargetMode="External"/><Relationship Id="rId2564" Type="http://schemas.openxmlformats.org/officeDocument/2006/relationships/control" Target="../activeX/activeX25.xml"/><Relationship Id="rId26" Type="http://schemas.openxmlformats.org/officeDocument/2006/relationships/hyperlink" Target="http://www.land.gov.il/TozaotMichrazim/resultsDetailed.aspx?id=84609&amp;rc=20&amp;tr=685" TargetMode="External"/><Relationship Id="rId231" Type="http://schemas.openxmlformats.org/officeDocument/2006/relationships/hyperlink" Target="http://www.land.gov.il/TozaotMichrazim/resultsDetailed.aspx?id=84952&amp;rc=97&amp;tr=1693" TargetMode="External"/><Relationship Id="rId329" Type="http://schemas.openxmlformats.org/officeDocument/2006/relationships/hyperlink" Target="http://www.land.gov.il/TozaotMichrazim/resultsDetailed.aspx?id=85055&amp;rc=200&amp;tr=1693" TargetMode="External"/><Relationship Id="rId536" Type="http://schemas.openxmlformats.org/officeDocument/2006/relationships/hyperlink" Target="http://www.land.gov.il/TozaotMichrazim/resultsDetailed.aspx?id=85288&amp;rc=433&amp;tr=1693" TargetMode="External"/><Relationship Id="rId1166" Type="http://schemas.openxmlformats.org/officeDocument/2006/relationships/hyperlink" Target="http://www.land.gov.il/TozaotMichrazim/resultsDetailed.aspx?id=83105&amp;rc=1204&amp;tr=1693" TargetMode="External"/><Relationship Id="rId1373" Type="http://schemas.openxmlformats.org/officeDocument/2006/relationships/hyperlink" Target="http://www.land.gov.il/TozaotMichrazim/resultsDetailed.aspx?id=76274&amp;rc=1426&amp;tr=1693" TargetMode="External"/><Relationship Id="rId2217" Type="http://schemas.openxmlformats.org/officeDocument/2006/relationships/hyperlink" Target="http://www.land.gov.il/TozaotMichrazim/Results.aspx?NewSearch=true&amp;ynmichraz=2014&amp;anMichraz=%e7%e9&amp;Nnmichraz=340" TargetMode="External"/><Relationship Id="rId2771" Type="http://schemas.openxmlformats.org/officeDocument/2006/relationships/control" Target="../activeX/activeX232.xml"/><Relationship Id="rId175" Type="http://schemas.openxmlformats.org/officeDocument/2006/relationships/hyperlink" Target="http://www.land.gov.il/TozaotMichrazim/resultsDetailed.aspx?id=84895&amp;rc=40&amp;tr=1693" TargetMode="External"/><Relationship Id="rId743" Type="http://schemas.openxmlformats.org/officeDocument/2006/relationships/hyperlink" Target="http://www.land.gov.il/TozaotMichrazim/resultsDetailed.aspx?id=85550&amp;rc=695&amp;tr=1693" TargetMode="External"/><Relationship Id="rId950" Type="http://schemas.openxmlformats.org/officeDocument/2006/relationships/hyperlink" Target="http://www.land.gov.il/TozaotMichrazim/resultsDetailed.aspx?id=82844&amp;rc=943&amp;tr=1693" TargetMode="External"/><Relationship Id="rId1026" Type="http://schemas.openxmlformats.org/officeDocument/2006/relationships/hyperlink" Target="http://www.land.gov.il/TozaotMichrazim/resultsDetailed.aspx?id=82938&amp;rc=1037&amp;tr=1693" TargetMode="External"/><Relationship Id="rId1580" Type="http://schemas.openxmlformats.org/officeDocument/2006/relationships/hyperlink" Target="http://www.land.gov.il/TozaotMichrazim/resultsDetailed.aspx?id=86476&amp;rc=67&amp;tr=674" TargetMode="External"/><Relationship Id="rId1678" Type="http://schemas.openxmlformats.org/officeDocument/2006/relationships/hyperlink" Target="http://www.land.gov.il/TozaotMichrazim/resultsDetailed.aspx?id=84590&amp;rc=168&amp;tr=674" TargetMode="External"/><Relationship Id="rId1801" Type="http://schemas.openxmlformats.org/officeDocument/2006/relationships/hyperlink" Target="http://www.land.gov.il/TozaotMichrazim/resultsDetailed.aspx?id=81384&amp;rc=317&amp;tr=674" TargetMode="External"/><Relationship Id="rId1885" Type="http://schemas.openxmlformats.org/officeDocument/2006/relationships/hyperlink" Target="http://www.land.gov.il/TozaotMichrazim/resultsDetailed.aspx?id=79965&amp;rc=401&amp;tr=674" TargetMode="External"/><Relationship Id="rId2424" Type="http://schemas.openxmlformats.org/officeDocument/2006/relationships/hyperlink" Target="http://www.land.gov.il/TozaotMichrazim/resultsDetailed.aspx?id=87268&amp;rc=393&amp;tr=424" TargetMode="External"/><Relationship Id="rId2631" Type="http://schemas.openxmlformats.org/officeDocument/2006/relationships/control" Target="../activeX/activeX92.xml"/><Relationship Id="rId2729" Type="http://schemas.openxmlformats.org/officeDocument/2006/relationships/control" Target="../activeX/activeX190.xml"/><Relationship Id="rId382" Type="http://schemas.openxmlformats.org/officeDocument/2006/relationships/hyperlink" Target="http://www.land.gov.il/TozaotMichrazim/resultsDetailed.aspx?id=85108&amp;rc=253&amp;tr=1693" TargetMode="External"/><Relationship Id="rId603" Type="http://schemas.openxmlformats.org/officeDocument/2006/relationships/hyperlink" Target="http://www.land.gov.il/TozaotMichrazim/resultsDetailed.aspx?id=85375&amp;rc=520&amp;tr=1693" TargetMode="External"/><Relationship Id="rId687" Type="http://schemas.openxmlformats.org/officeDocument/2006/relationships/hyperlink" Target="http://www.land.gov.il/TozaotMichrazim/resultsDetailed.aspx?id=85473&amp;rc=618&amp;tr=1693" TargetMode="External"/><Relationship Id="rId810" Type="http://schemas.openxmlformats.org/officeDocument/2006/relationships/hyperlink" Target="http://www.land.gov.il/TozaotMichrazim/resultsDetailed.aspx?id=82684&amp;rc=783&amp;tr=1693" TargetMode="External"/><Relationship Id="rId908" Type="http://schemas.openxmlformats.org/officeDocument/2006/relationships/hyperlink" Target="http://www.land.gov.il/TozaotMichrazim/resultsDetailed.aspx?id=82798&amp;rc=897&amp;tr=1693" TargetMode="External"/><Relationship Id="rId1233" Type="http://schemas.openxmlformats.org/officeDocument/2006/relationships/hyperlink" Target="http://www.land.gov.il/TozaotMichrazim/resultsDetailed.aspx?id=83185&amp;rc=1284&amp;tr=1693" TargetMode="External"/><Relationship Id="rId1440" Type="http://schemas.openxmlformats.org/officeDocument/2006/relationships/hyperlink" Target="http://www.land.gov.il/TozaotMichrazim/resultsDetailed.aspx?id=87253&amp;rc=27&amp;tr=421" TargetMode="External"/><Relationship Id="rId1538" Type="http://schemas.openxmlformats.org/officeDocument/2006/relationships/hyperlink" Target="http://www.land.gov.il/TozaotMichrazim/resultsDetailed.aspx?id=86434&amp;rc=25&amp;tr=674" TargetMode="External"/><Relationship Id="rId2063" Type="http://schemas.openxmlformats.org/officeDocument/2006/relationships/hyperlink" Target="http://www.land.gov.il/TozaotMichrazim/resultsDetailed.aspx?id=87114&amp;rc=4&amp;tr=115" TargetMode="External"/><Relationship Id="rId2270" Type="http://schemas.openxmlformats.org/officeDocument/2006/relationships/hyperlink" Target="http://www.land.gov.il/TozaotMichrazim/resultsDetailed.aspx?id=87777&amp;rc=216&amp;tr=424" TargetMode="External"/><Relationship Id="rId2368" Type="http://schemas.openxmlformats.org/officeDocument/2006/relationships/hyperlink" Target="http://www.land.gov.il/TozaotMichrazim/resultsDetailed.aspx?id=87737&amp;rc=315&amp;tr=424" TargetMode="External"/><Relationship Id="rId242" Type="http://schemas.openxmlformats.org/officeDocument/2006/relationships/hyperlink" Target="http://www.land.gov.il/TozaotMichrazim/resultsDetailed.aspx?id=84964&amp;rc=109&amp;tr=1693" TargetMode="External"/><Relationship Id="rId894" Type="http://schemas.openxmlformats.org/officeDocument/2006/relationships/hyperlink" Target="http://www.land.gov.il/TozaotMichrazim/resultsDetailed.aspx?id=82783&amp;rc=882&amp;tr=1693" TargetMode="External"/><Relationship Id="rId1177" Type="http://schemas.openxmlformats.org/officeDocument/2006/relationships/hyperlink" Target="http://www.land.gov.il/TozaotMichrazim/resultsDetailed.aspx?id=83116&amp;rc=1215&amp;tr=1693" TargetMode="External"/><Relationship Id="rId1300" Type="http://schemas.openxmlformats.org/officeDocument/2006/relationships/hyperlink" Target="http://www.land.gov.il/TozaotMichrazim/resultsDetailed.aspx?id=78776&amp;rc=1353&amp;tr=1693" TargetMode="External"/><Relationship Id="rId1745" Type="http://schemas.openxmlformats.org/officeDocument/2006/relationships/hyperlink" Target="http://www.land.gov.il/TozaotMichrazim/resultsDetailed.aspx?id=81325&amp;rc=258&amp;tr=674" TargetMode="External"/><Relationship Id="rId1952" Type="http://schemas.openxmlformats.org/officeDocument/2006/relationships/hyperlink" Target="http://www.land.gov.il/TozaotMichrazim/resultsDetailed.aspx?id=76986&amp;rc=488&amp;tr=674" TargetMode="External"/><Relationship Id="rId2130" Type="http://schemas.openxmlformats.org/officeDocument/2006/relationships/hyperlink" Target="http://www.land.gov.il/PirsumMichrazim/Aspx/pirsumDetails.aspx?id=3752016%EE%F8&amp;rc=3&amp;tr=5" TargetMode="External"/><Relationship Id="rId2575" Type="http://schemas.openxmlformats.org/officeDocument/2006/relationships/control" Target="../activeX/activeX36.xml"/><Relationship Id="rId2782" Type="http://schemas.openxmlformats.org/officeDocument/2006/relationships/control" Target="../activeX/activeX243.xml"/><Relationship Id="rId37" Type="http://schemas.openxmlformats.org/officeDocument/2006/relationships/hyperlink" Target="http://www.land.gov.il/TozaotMichrazim/resultsDetailed.aspx?id=84620&amp;rc=31&amp;tr=685" TargetMode="External"/><Relationship Id="rId102" Type="http://schemas.openxmlformats.org/officeDocument/2006/relationships/hyperlink" Target="http://www.land.gov.il/TozaotMichrazim/resultsDetailed.aspx?id=84685&amp;rc=96&amp;tr=685" TargetMode="External"/><Relationship Id="rId547" Type="http://schemas.openxmlformats.org/officeDocument/2006/relationships/hyperlink" Target="http://www.land.gov.il/TozaotMichrazim/resultsDetailed.aspx?id=85302&amp;rc=447&amp;tr=1693" TargetMode="External"/><Relationship Id="rId754" Type="http://schemas.openxmlformats.org/officeDocument/2006/relationships/hyperlink" Target="http://www.land.gov.il/TozaotMichrazim/resultsDetailed.aspx?id=85565&amp;rc=710&amp;tr=1693" TargetMode="External"/><Relationship Id="rId961" Type="http://schemas.openxmlformats.org/officeDocument/2006/relationships/hyperlink" Target="http://www.land.gov.il/TozaotMichrazim/resultsDetailed.aspx?id=82857&amp;rc=956&amp;tr=1693" TargetMode="External"/><Relationship Id="rId1384" Type="http://schemas.openxmlformats.org/officeDocument/2006/relationships/hyperlink" Target="http://www.land.gov.il/TozaotMichrazim/resultsDetailed.aspx?id=76285&amp;rc=1437&amp;tr=1693" TargetMode="External"/><Relationship Id="rId1591" Type="http://schemas.openxmlformats.org/officeDocument/2006/relationships/hyperlink" Target="http://www.land.gov.il/TozaotMichrazim/resultsDetailed.aspx?id=86487&amp;rc=78&amp;tr=674" TargetMode="External"/><Relationship Id="rId1605" Type="http://schemas.openxmlformats.org/officeDocument/2006/relationships/hyperlink" Target="http://www.land.gov.il/TozaotMichrazim/resultsDetailed.aspx?id=86501&amp;rc=92&amp;tr=674" TargetMode="External"/><Relationship Id="rId1689" Type="http://schemas.openxmlformats.org/officeDocument/2006/relationships/hyperlink" Target="http://www.land.gov.il/TozaotMichrazim/resultsDetailed.aspx?id=83834&amp;rc=197&amp;tr=674" TargetMode="External"/><Relationship Id="rId1812" Type="http://schemas.openxmlformats.org/officeDocument/2006/relationships/hyperlink" Target="http://www.land.gov.il/TozaotMichrazim/resultsDetailed.aspx?id=81395&amp;rc=328&amp;tr=674" TargetMode="External"/><Relationship Id="rId2228" Type="http://schemas.openxmlformats.org/officeDocument/2006/relationships/hyperlink" Target="http://land.gov.il/TozaotMichrazim/Results.aspx?NewSearch=true&amp;ynmichraz=2013&amp;anMichraz=%e7%e9&amp;Nnmichraz=325" TargetMode="External"/><Relationship Id="rId2435" Type="http://schemas.openxmlformats.org/officeDocument/2006/relationships/hyperlink" Target="http://www.land.gov.il/TozaotMichrazim/resultsDetailed.aspx?id=87318&amp;rc=411&amp;tr=424" TargetMode="External"/><Relationship Id="rId2642" Type="http://schemas.openxmlformats.org/officeDocument/2006/relationships/control" Target="../activeX/activeX103.xml"/><Relationship Id="rId90" Type="http://schemas.openxmlformats.org/officeDocument/2006/relationships/hyperlink" Target="http://www.land.gov.il/TozaotMichrazim/resultsDetailed.aspx?id=84673&amp;rc=84&amp;tr=685" TargetMode="External"/><Relationship Id="rId186" Type="http://schemas.openxmlformats.org/officeDocument/2006/relationships/hyperlink" Target="http://www.land.gov.il/TozaotMichrazim/resultsDetailed.aspx?id=84906&amp;rc=51&amp;tr=1693" TargetMode="External"/><Relationship Id="rId393" Type="http://schemas.openxmlformats.org/officeDocument/2006/relationships/hyperlink" Target="http://www.land.gov.il/TozaotMichrazim/resultsDetailed.aspx?id=85120&amp;rc=265&amp;tr=1693" TargetMode="External"/><Relationship Id="rId407" Type="http://schemas.openxmlformats.org/officeDocument/2006/relationships/hyperlink" Target="http://www.land.gov.il/TozaotMichrazim/resultsDetailed.aspx?id=85141&amp;rc=286&amp;tr=1693" TargetMode="External"/><Relationship Id="rId614" Type="http://schemas.openxmlformats.org/officeDocument/2006/relationships/hyperlink" Target="http://www.land.gov.il/TozaotMichrazim/resultsDetailed.aspx?id=85389&amp;rc=534&amp;tr=1693" TargetMode="External"/><Relationship Id="rId821" Type="http://schemas.openxmlformats.org/officeDocument/2006/relationships/hyperlink" Target="http://www.land.gov.il/TozaotMichrazim/resultsDetailed.aspx?id=82703&amp;rc=802&amp;tr=1693" TargetMode="External"/><Relationship Id="rId1037" Type="http://schemas.openxmlformats.org/officeDocument/2006/relationships/hyperlink" Target="http://www.land.gov.il/TozaotMichrazim/resultsDetailed.aspx?id=82951&amp;rc=1050&amp;tr=1693" TargetMode="External"/><Relationship Id="rId1244" Type="http://schemas.openxmlformats.org/officeDocument/2006/relationships/hyperlink" Target="http://www.land.gov.il/TozaotMichrazim/resultsDetailed.aspx?id=79317&amp;rc=1297&amp;tr=1693" TargetMode="External"/><Relationship Id="rId1451" Type="http://schemas.openxmlformats.org/officeDocument/2006/relationships/hyperlink" Target="http://www.land.gov.il/TozaotMichrazim/resultsDetailed.aspx?id=86272&amp;rc=40&amp;tr=421" TargetMode="External"/><Relationship Id="rId1896" Type="http://schemas.openxmlformats.org/officeDocument/2006/relationships/hyperlink" Target="http://www.land.gov.il/TozaotMichrazim/resultsDetailed.aspx?id=79392&amp;rc=412&amp;tr=674" TargetMode="External"/><Relationship Id="rId2074" Type="http://schemas.openxmlformats.org/officeDocument/2006/relationships/hyperlink" Target="http://www.land.gov.il/TozaotMichrazim/resultsDetailed.aspx?id=87055&amp;rc=15&amp;tr=115" TargetMode="External"/><Relationship Id="rId2281" Type="http://schemas.openxmlformats.org/officeDocument/2006/relationships/hyperlink" Target="http://www.land.gov.il/TozaotMichrazim/resultsDetailed.aspx?id=87650&amp;rc=228&amp;tr=424" TargetMode="External"/><Relationship Id="rId2502" Type="http://schemas.openxmlformats.org/officeDocument/2006/relationships/hyperlink" Target="http://www.land.gov.il/TozaotMichrazim/resultsDetailed.aspx?id=71529&amp;rc=54&amp;tr=87" TargetMode="External"/><Relationship Id="rId253" Type="http://schemas.openxmlformats.org/officeDocument/2006/relationships/hyperlink" Target="http://www.land.gov.il/TozaotMichrazim/resultsDetailed.aspx?id=84979&amp;rc=124&amp;tr=1693" TargetMode="External"/><Relationship Id="rId460" Type="http://schemas.openxmlformats.org/officeDocument/2006/relationships/hyperlink" Target="http://www.land.gov.il/TozaotMichrazim/resultsDetailed.aspx?id=85196&amp;rc=341&amp;tr=1693" TargetMode="External"/><Relationship Id="rId698" Type="http://schemas.openxmlformats.org/officeDocument/2006/relationships/hyperlink" Target="http://www.land.gov.il/TozaotMichrazim/resultsDetailed.aspx?id=85487&amp;rc=632&amp;tr=1693" TargetMode="External"/><Relationship Id="rId919" Type="http://schemas.openxmlformats.org/officeDocument/2006/relationships/hyperlink" Target="http://www.land.gov.il/TozaotMichrazim/resultsDetailed.aspx?id=82809&amp;rc=908&amp;tr=1693" TargetMode="External"/><Relationship Id="rId1090" Type="http://schemas.openxmlformats.org/officeDocument/2006/relationships/hyperlink" Target="http://www.land.gov.il/TozaotMichrazim/resultsDetailed.aspx?id=83018&amp;rc=1117&amp;tr=1693" TargetMode="External"/><Relationship Id="rId1104" Type="http://schemas.openxmlformats.org/officeDocument/2006/relationships/hyperlink" Target="http://www.land.gov.il/TozaotMichrazim/resultsDetailed.aspx?id=83034&amp;rc=1133&amp;tr=1693" TargetMode="External"/><Relationship Id="rId1311" Type="http://schemas.openxmlformats.org/officeDocument/2006/relationships/hyperlink" Target="http://www.land.gov.il/TozaotMichrazim/resultsDetailed.aspx?id=78029&amp;rc=1364&amp;tr=1693" TargetMode="External"/><Relationship Id="rId1549" Type="http://schemas.openxmlformats.org/officeDocument/2006/relationships/hyperlink" Target="http://www.land.gov.il/TozaotMichrazim/resultsDetailed.aspx?id=86445&amp;rc=36&amp;tr=674" TargetMode="External"/><Relationship Id="rId1756" Type="http://schemas.openxmlformats.org/officeDocument/2006/relationships/hyperlink" Target="http://www.land.gov.il/TozaotMichrazim/resultsDetailed.aspx?id=81336&amp;rc=269&amp;tr=674" TargetMode="External"/><Relationship Id="rId1963" Type="http://schemas.openxmlformats.org/officeDocument/2006/relationships/hyperlink" Target="http://www.land.gov.il/TozaotMichrazim/resultsDetailed.aspx?id=76997&amp;rc=499&amp;tr=674" TargetMode="External"/><Relationship Id="rId2141" Type="http://schemas.openxmlformats.org/officeDocument/2006/relationships/hyperlink" Target="http://www.land.gov.il/IturTabot2/taba1.aspx?MisTochnit=413-0180570&amp;Ishuv=8300" TargetMode="External"/><Relationship Id="rId2379" Type="http://schemas.openxmlformats.org/officeDocument/2006/relationships/hyperlink" Target="http://www.land.gov.il/TozaotMichrazim/resultsDetailed.aspx?id=87748&amp;rc=326&amp;tr=424" TargetMode="External"/><Relationship Id="rId2586" Type="http://schemas.openxmlformats.org/officeDocument/2006/relationships/control" Target="../activeX/activeX47.xml"/><Relationship Id="rId2793" Type="http://schemas.openxmlformats.org/officeDocument/2006/relationships/control" Target="../activeX/activeX254.xml"/><Relationship Id="rId2807" Type="http://schemas.openxmlformats.org/officeDocument/2006/relationships/control" Target="../activeX/activeX268.xml"/><Relationship Id="rId48" Type="http://schemas.openxmlformats.org/officeDocument/2006/relationships/hyperlink" Target="http://www.land.gov.il/TozaotMichrazim/resultsDetailed.aspx?id=84631&amp;rc=42&amp;tr=685" TargetMode="External"/><Relationship Id="rId113" Type="http://schemas.openxmlformats.org/officeDocument/2006/relationships/hyperlink" Target="http://www.land.gov.il/TozaotMichrazim/resultsDetailed.aspx?id=81797&amp;rc=107&amp;tr=685" TargetMode="External"/><Relationship Id="rId320" Type="http://schemas.openxmlformats.org/officeDocument/2006/relationships/hyperlink" Target="http://www.land.gov.il/TozaotMichrazim/resultsDetailed.aspx?id=85046&amp;rc=191&amp;tr=1693" TargetMode="External"/><Relationship Id="rId558" Type="http://schemas.openxmlformats.org/officeDocument/2006/relationships/hyperlink" Target="http://www.land.gov.il/TozaotMichrazim/resultsDetailed.aspx?id=85315&amp;rc=460&amp;tr=1693" TargetMode="External"/><Relationship Id="rId765" Type="http://schemas.openxmlformats.org/officeDocument/2006/relationships/hyperlink" Target="http://www.land.gov.il/TozaotMichrazim/resultsDetailed.aspx?id=84597&amp;rc=721&amp;tr=1693" TargetMode="External"/><Relationship Id="rId972" Type="http://schemas.openxmlformats.org/officeDocument/2006/relationships/hyperlink" Target="http://www.land.gov.il/TozaotMichrazim/resultsDetailed.aspx?id=82872&amp;rc=971&amp;tr=1693" TargetMode="External"/><Relationship Id="rId1188" Type="http://schemas.openxmlformats.org/officeDocument/2006/relationships/hyperlink" Target="http://www.land.gov.il/TozaotMichrazim/resultsDetailed.aspx?id=83127&amp;rc=1226&amp;tr=1693" TargetMode="External"/><Relationship Id="rId1395" Type="http://schemas.openxmlformats.org/officeDocument/2006/relationships/hyperlink" Target="http://www.land.gov.il/TozaotMichrazim/resultsDetailed.aspx?id=84820&amp;rc=4&amp;tr=79" TargetMode="External"/><Relationship Id="rId1409" Type="http://schemas.openxmlformats.org/officeDocument/2006/relationships/hyperlink" Target="http://www.land.gov.il/TozaotMichrazim/resultsDetailed.aspx?id=86698&amp;rc=2&amp;tr=43" TargetMode="External"/><Relationship Id="rId1616" Type="http://schemas.openxmlformats.org/officeDocument/2006/relationships/hyperlink" Target="http://www.land.gov.il/TozaotMichrazim/resultsDetailed.aspx?id=86512&amp;rc=103&amp;tr=674" TargetMode="External"/><Relationship Id="rId1823" Type="http://schemas.openxmlformats.org/officeDocument/2006/relationships/hyperlink" Target="http://www.land.gov.il/TozaotMichrazim/resultsDetailed.aspx?id=81406&amp;rc=339&amp;tr=674" TargetMode="External"/><Relationship Id="rId2001" Type="http://schemas.openxmlformats.org/officeDocument/2006/relationships/hyperlink" Target="http://www.land.gov.il/TozaotMichrazim/resultsDetailed.aspx?id=83627&amp;rc=24&amp;tr=440" TargetMode="External"/><Relationship Id="rId2239" Type="http://schemas.openxmlformats.org/officeDocument/2006/relationships/hyperlink" Target="http://www.land.gov.il/TozaotMichrazim/resultsDetailed.aspx?id=87843&amp;rc=23&amp;tr=424" TargetMode="External"/><Relationship Id="rId2446" Type="http://schemas.openxmlformats.org/officeDocument/2006/relationships/hyperlink" Target="http://www.land.gov.il/TozaotMichrazim/resultsDetailed.aspx?id=87329&amp;rc=422&amp;tr=424" TargetMode="External"/><Relationship Id="rId2653" Type="http://schemas.openxmlformats.org/officeDocument/2006/relationships/control" Target="../activeX/activeX114.xml"/><Relationship Id="rId197" Type="http://schemas.openxmlformats.org/officeDocument/2006/relationships/hyperlink" Target="http://www.land.gov.il/TozaotMichrazim/resultsDetailed.aspx?id=84918&amp;rc=63&amp;tr=1693" TargetMode="External"/><Relationship Id="rId418" Type="http://schemas.openxmlformats.org/officeDocument/2006/relationships/hyperlink" Target="http://www.land.gov.il/TozaotMichrazim/resultsDetailed.aspx?id=85154&amp;rc=299&amp;tr=1693" TargetMode="External"/><Relationship Id="rId625" Type="http://schemas.openxmlformats.org/officeDocument/2006/relationships/hyperlink" Target="http://www.land.gov.il/TozaotMichrazim/resultsDetailed.aspx?id=85400&amp;rc=545&amp;tr=1693" TargetMode="External"/><Relationship Id="rId832" Type="http://schemas.openxmlformats.org/officeDocument/2006/relationships/hyperlink" Target="http://www.land.gov.il/TozaotMichrazim/resultsDetailed.aspx?id=82717&amp;rc=816&amp;tr=1693" TargetMode="External"/><Relationship Id="rId1048" Type="http://schemas.openxmlformats.org/officeDocument/2006/relationships/hyperlink" Target="http://www.land.gov.il/TozaotMichrazim/resultsDetailed.aspx?id=82964&amp;rc=1063&amp;tr=1693" TargetMode="External"/><Relationship Id="rId1255" Type="http://schemas.openxmlformats.org/officeDocument/2006/relationships/hyperlink" Target="http://www.land.gov.il/TozaotMichrazim/resultsDetailed.aspx?id=79328&amp;rc=1308&amp;tr=1693" TargetMode="External"/><Relationship Id="rId1462" Type="http://schemas.openxmlformats.org/officeDocument/2006/relationships/hyperlink" Target="http://www.land.gov.il/TozaotMichrazim/resultsDetailed.aspx?id=83303&amp;rc=51&amp;tr=421" TargetMode="External"/><Relationship Id="rId2085" Type="http://schemas.openxmlformats.org/officeDocument/2006/relationships/hyperlink" Target="http://www.land.gov.il/TozaotMichrazim/resultsDetailed.aspx?id=77076&amp;rc=26&amp;tr=115" TargetMode="External"/><Relationship Id="rId2292" Type="http://schemas.openxmlformats.org/officeDocument/2006/relationships/hyperlink" Target="http://www.land.gov.il/TozaotMichrazim/resultsDetailed.aspx?id=87661&amp;rc=239&amp;tr=424" TargetMode="External"/><Relationship Id="rId2306" Type="http://schemas.openxmlformats.org/officeDocument/2006/relationships/hyperlink" Target="http://www.land.gov.il/TozaotMichrazim/resultsDetailed.aspx?id=87675&amp;rc=253&amp;tr=424" TargetMode="External"/><Relationship Id="rId2513" Type="http://schemas.openxmlformats.org/officeDocument/2006/relationships/hyperlink" Target="http://www.land.gov.il/TozaotMichrazim/resultsDetailed.aspx?id=71353&amp;rc=65&amp;tr=87" TargetMode="External"/><Relationship Id="rId264" Type="http://schemas.openxmlformats.org/officeDocument/2006/relationships/hyperlink" Target="http://www.land.gov.il/TozaotMichrazim/resultsDetailed.aspx?id=84990&amp;rc=135&amp;tr=1693" TargetMode="External"/><Relationship Id="rId471" Type="http://schemas.openxmlformats.org/officeDocument/2006/relationships/hyperlink" Target="http://www.land.gov.il/TozaotMichrazim/resultsDetailed.aspx?id=85207&amp;rc=352&amp;tr=1693" TargetMode="External"/><Relationship Id="rId1115" Type="http://schemas.openxmlformats.org/officeDocument/2006/relationships/hyperlink" Target="http://www.land.gov.il/TozaotMichrazim/resultsDetailed.aspx?id=83045&amp;rc=1144&amp;tr=1693" TargetMode="External"/><Relationship Id="rId1322" Type="http://schemas.openxmlformats.org/officeDocument/2006/relationships/hyperlink" Target="http://www.land.gov.il/TozaotMichrazim/resultsDetailed.aspx?id=76595&amp;rc=1375&amp;tr=1693" TargetMode="External"/><Relationship Id="rId1767" Type="http://schemas.openxmlformats.org/officeDocument/2006/relationships/hyperlink" Target="http://www.land.gov.il/TozaotMichrazim/resultsDetailed.aspx?id=81347&amp;rc=280&amp;tr=674" TargetMode="External"/><Relationship Id="rId1974" Type="http://schemas.openxmlformats.org/officeDocument/2006/relationships/hyperlink" Target="http://www.land.gov.il/TozaotMichrazim/resultsDetailed.aspx?id=75021&amp;rc=511&amp;tr=674" TargetMode="External"/><Relationship Id="rId2152" Type="http://schemas.openxmlformats.org/officeDocument/2006/relationships/hyperlink" Target="http://www.land.gov.il/IturTabot2/taba2.aspx?tbMerchav=306&amp;tUniqueID=1&amp;sSug=23%2c24%2c26%2c72%2c21%2c20%2c62%2c31%2c41%2c25%2c22%2c13%2c61%2c32%2c73%2c40%2c9%2c12%2c60%2c71%2c70%2c67%2c68%2c69%2c30%2c50&amp;tblView=tblView_e4781b4803f2&amp;tbMsTochnit=%25u05e7/425" TargetMode="External"/><Relationship Id="rId2597" Type="http://schemas.openxmlformats.org/officeDocument/2006/relationships/control" Target="../activeX/activeX58.xml"/><Relationship Id="rId2720" Type="http://schemas.openxmlformats.org/officeDocument/2006/relationships/control" Target="../activeX/activeX181.xml"/><Relationship Id="rId59" Type="http://schemas.openxmlformats.org/officeDocument/2006/relationships/hyperlink" Target="http://www.land.gov.il/TozaotMichrazim/resultsDetailed.aspx?id=84642&amp;rc=53&amp;tr=685" TargetMode="External"/><Relationship Id="rId124" Type="http://schemas.openxmlformats.org/officeDocument/2006/relationships/hyperlink" Target="http://www.land.gov.il/TozaotMichrazim/resultsDetailed.aspx?id=80769&amp;rc=119&amp;tr=685" TargetMode="External"/><Relationship Id="rId569" Type="http://schemas.openxmlformats.org/officeDocument/2006/relationships/hyperlink" Target="http://www.land.gov.il/TozaotMichrazim/resultsDetailed.aspx?id=85326&amp;rc=471&amp;tr=1693" TargetMode="External"/><Relationship Id="rId776" Type="http://schemas.openxmlformats.org/officeDocument/2006/relationships/hyperlink" Target="http://www.land.gov.il/TozaotMichrazim/resultsDetailed.aspx?id=82637&amp;rc=736&amp;tr=1693" TargetMode="External"/><Relationship Id="rId983" Type="http://schemas.openxmlformats.org/officeDocument/2006/relationships/hyperlink" Target="http://www.land.gov.il/TozaotMichrazim/resultsDetailed.aspx?id=82889&amp;rc=988&amp;tr=1693" TargetMode="External"/><Relationship Id="rId1199" Type="http://schemas.openxmlformats.org/officeDocument/2006/relationships/hyperlink" Target="http://www.land.gov.il/TozaotMichrazim/resultsDetailed.aspx?id=83139&amp;rc=1238&amp;tr=1693" TargetMode="External"/><Relationship Id="rId1627" Type="http://schemas.openxmlformats.org/officeDocument/2006/relationships/hyperlink" Target="http://www.land.gov.il/TozaotMichrazim/resultsDetailed.aspx?id=86523&amp;rc=114&amp;tr=674" TargetMode="External"/><Relationship Id="rId1834" Type="http://schemas.openxmlformats.org/officeDocument/2006/relationships/hyperlink" Target="http://www.land.gov.il/TozaotMichrazim/resultsDetailed.aspx?id=79914&amp;rc=350&amp;tr=674" TargetMode="External"/><Relationship Id="rId2457" Type="http://schemas.openxmlformats.org/officeDocument/2006/relationships/hyperlink" Target="http://www.land.gov.il/TozaotMichrazim/resultsDetailed.aspx?id=85581&amp;rc=9&amp;tr=87" TargetMode="External"/><Relationship Id="rId2664" Type="http://schemas.openxmlformats.org/officeDocument/2006/relationships/control" Target="../activeX/activeX125.xml"/><Relationship Id="rId331" Type="http://schemas.openxmlformats.org/officeDocument/2006/relationships/hyperlink" Target="http://www.land.gov.il/TozaotMichrazim/resultsDetailed.aspx?id=85057&amp;rc=202&amp;tr=1693" TargetMode="External"/><Relationship Id="rId429" Type="http://schemas.openxmlformats.org/officeDocument/2006/relationships/hyperlink" Target="http://www.land.gov.il/TozaotMichrazim/resultsDetailed.aspx?id=85165&amp;rc=310&amp;tr=1693" TargetMode="External"/><Relationship Id="rId636" Type="http://schemas.openxmlformats.org/officeDocument/2006/relationships/hyperlink" Target="http://www.land.gov.il/TozaotMichrazim/resultsDetailed.aspx?id=85415&amp;rc=560&amp;tr=1693" TargetMode="External"/><Relationship Id="rId1059" Type="http://schemas.openxmlformats.org/officeDocument/2006/relationships/hyperlink" Target="http://www.land.gov.il/TozaotMichrazim/resultsDetailed.aspx?id=82979&amp;rc=1078&amp;tr=1693" TargetMode="External"/><Relationship Id="rId1266" Type="http://schemas.openxmlformats.org/officeDocument/2006/relationships/hyperlink" Target="http://www.land.gov.il/TozaotMichrazim/resultsDetailed.aspx?id=79339&amp;rc=1319&amp;tr=1693" TargetMode="External"/><Relationship Id="rId1473" Type="http://schemas.openxmlformats.org/officeDocument/2006/relationships/hyperlink" Target="http://www.land.gov.il/TozaotMichrazim/resultsDetailed.aspx?id=81693&amp;rc=62&amp;tr=421" TargetMode="External"/><Relationship Id="rId2012" Type="http://schemas.openxmlformats.org/officeDocument/2006/relationships/hyperlink" Target="http://www.land.gov.il/TozaotMichrazim/resultsDetailed.aspx?id=81174&amp;rc=38&amp;tr=440" TargetMode="External"/><Relationship Id="rId2096" Type="http://schemas.openxmlformats.org/officeDocument/2006/relationships/hyperlink" Target="http://www.land.gov.il/TozaotMichrazim/resultsDetailed.aspx?id=84828&amp;rc=12&amp;tr=100" TargetMode="External"/><Relationship Id="rId2317" Type="http://schemas.openxmlformats.org/officeDocument/2006/relationships/hyperlink" Target="http://www.land.gov.il/TozaotMichrazim/resultsDetailed.aspx?id=87686&amp;rc=264&amp;tr=424" TargetMode="External"/><Relationship Id="rId843" Type="http://schemas.openxmlformats.org/officeDocument/2006/relationships/hyperlink" Target="http://www.land.gov.il/TozaotMichrazim/resultsDetailed.aspx?id=82730&amp;rc=829&amp;tr=1693" TargetMode="External"/><Relationship Id="rId1126" Type="http://schemas.openxmlformats.org/officeDocument/2006/relationships/hyperlink" Target="http://www.land.gov.il/TozaotMichrazim/resultsDetailed.aspx?id=83057&amp;rc=1156&amp;tr=1693" TargetMode="External"/><Relationship Id="rId1680" Type="http://schemas.openxmlformats.org/officeDocument/2006/relationships/hyperlink" Target="http://www.land.gov.il/TozaotMichrazim/resultsDetailed.aspx?id=85601&amp;rc=171&amp;tr=674" TargetMode="External"/><Relationship Id="rId1778" Type="http://schemas.openxmlformats.org/officeDocument/2006/relationships/hyperlink" Target="http://www.land.gov.il/TozaotMichrazim/resultsDetailed.aspx?id=81359&amp;rc=292&amp;tr=674" TargetMode="External"/><Relationship Id="rId1901" Type="http://schemas.openxmlformats.org/officeDocument/2006/relationships/hyperlink" Target="http://www.land.gov.il/TozaotMichrazim/resultsDetailed.aspx?id=79397&amp;rc=417&amp;tr=674" TargetMode="External"/><Relationship Id="rId1985" Type="http://schemas.openxmlformats.org/officeDocument/2006/relationships/hyperlink" Target="http://www.land.gov.il/TozaotMichrazim/resultsDetailed.aspx?id=86726&amp;rc=6&amp;tr=440" TargetMode="External"/><Relationship Id="rId2524" Type="http://schemas.openxmlformats.org/officeDocument/2006/relationships/hyperlink" Target="http://www.land.gov.il/TozaotMichrazim/resultsDetailed.aspx?id=67337&amp;rc=76&amp;tr=87" TargetMode="External"/><Relationship Id="rId2731" Type="http://schemas.openxmlformats.org/officeDocument/2006/relationships/control" Target="../activeX/activeX192.xml"/><Relationship Id="rId275" Type="http://schemas.openxmlformats.org/officeDocument/2006/relationships/hyperlink" Target="http://www.land.gov.il/TozaotMichrazim/resultsDetailed.aspx?id=85001&amp;rc=146&amp;tr=1693" TargetMode="External"/><Relationship Id="rId482" Type="http://schemas.openxmlformats.org/officeDocument/2006/relationships/hyperlink" Target="http://www.land.gov.il/TozaotMichrazim/resultsDetailed.aspx?id=85219&amp;rc=364&amp;tr=1693" TargetMode="External"/><Relationship Id="rId703" Type="http://schemas.openxmlformats.org/officeDocument/2006/relationships/hyperlink" Target="http://www.land.gov.il/TozaotMichrazim/resultsDetailed.aspx?id=85492&amp;rc=637&amp;tr=1693" TargetMode="External"/><Relationship Id="rId910" Type="http://schemas.openxmlformats.org/officeDocument/2006/relationships/hyperlink" Target="http://www.land.gov.il/TozaotMichrazim/resultsDetailed.aspx?id=82800&amp;rc=899&amp;tr=1693" TargetMode="External"/><Relationship Id="rId1333" Type="http://schemas.openxmlformats.org/officeDocument/2006/relationships/hyperlink" Target="http://www.land.gov.il/TozaotMichrazim/resultsDetailed.aspx?id=76234&amp;rc=1386&amp;tr=1693" TargetMode="External"/><Relationship Id="rId1540" Type="http://schemas.openxmlformats.org/officeDocument/2006/relationships/hyperlink" Target="http://www.land.gov.il/TozaotMichrazim/resultsDetailed.aspx?id=86436&amp;rc=27&amp;tr=674" TargetMode="External"/><Relationship Id="rId1638" Type="http://schemas.openxmlformats.org/officeDocument/2006/relationships/hyperlink" Target="http://www.land.gov.il/TozaotMichrazim/resultsDetailed.aspx?id=86534&amp;rc=125&amp;tr=674" TargetMode="External"/><Relationship Id="rId2163" Type="http://schemas.openxmlformats.org/officeDocument/2006/relationships/hyperlink" Target="http://www.land.gov.il/PirsumMichrazim/Aspx/pirsumDetails.aspx?id=1402016%EE%F8&amp;rc=2&amp;tr=6" TargetMode="External"/><Relationship Id="rId2370" Type="http://schemas.openxmlformats.org/officeDocument/2006/relationships/hyperlink" Target="http://www.land.gov.il/TozaotMichrazim/resultsDetailed.aspx?id=87739&amp;rc=317&amp;tr=424" TargetMode="External"/><Relationship Id="rId135" Type="http://schemas.openxmlformats.org/officeDocument/2006/relationships/hyperlink" Target="http://www.land.gov.il/TozaotMichrazim/resultsDetailed.aspx?id=77016&amp;rc=134&amp;tr=685" TargetMode="External"/><Relationship Id="rId342" Type="http://schemas.openxmlformats.org/officeDocument/2006/relationships/hyperlink" Target="http://www.land.gov.il/TozaotMichrazim/resultsDetailed.aspx?id=85068&amp;rc=213&amp;tr=1693" TargetMode="External"/><Relationship Id="rId787" Type="http://schemas.openxmlformats.org/officeDocument/2006/relationships/hyperlink" Target="http://www.land.gov.il/TozaotMichrazim/resultsDetailed.aspx?id=82653&amp;rc=752&amp;tr=1693" TargetMode="External"/><Relationship Id="rId994" Type="http://schemas.openxmlformats.org/officeDocument/2006/relationships/hyperlink" Target="http://www.land.gov.il/TozaotMichrazim/resultsDetailed.aspx?id=82903&amp;rc=1002&amp;tr=1693" TargetMode="External"/><Relationship Id="rId1400" Type="http://schemas.openxmlformats.org/officeDocument/2006/relationships/hyperlink" Target="http://www.land.gov.il/TozaotMichrazim/resultsDetailed.aspx?id=81695&amp;rc=15&amp;tr=79" TargetMode="External"/><Relationship Id="rId1845" Type="http://schemas.openxmlformats.org/officeDocument/2006/relationships/hyperlink" Target="http://www.land.gov.il/TozaotMichrazim/resultsDetailed.aspx?id=79925&amp;rc=361&amp;tr=674" TargetMode="External"/><Relationship Id="rId2023" Type="http://schemas.openxmlformats.org/officeDocument/2006/relationships/hyperlink" Target="http://www.land.gov.il/TozaotMichrazim/resultsDetailed.aspx?id=79124&amp;rc=49&amp;tr=440" TargetMode="External"/><Relationship Id="rId2230" Type="http://schemas.openxmlformats.org/officeDocument/2006/relationships/hyperlink" Target="http://land.gov.il/TozaotMichrazim/Results.aspx?NewSearch=true&amp;ynmichraz=2015&amp;anMichraz=%e7%e9&amp;Nnmichraz=274" TargetMode="External"/><Relationship Id="rId2468" Type="http://schemas.openxmlformats.org/officeDocument/2006/relationships/hyperlink" Target="http://www.land.gov.il/TozaotMichrazim/resultsDetailed.aspx?id=85592&amp;rc=20&amp;tr=87" TargetMode="External"/><Relationship Id="rId2675" Type="http://schemas.openxmlformats.org/officeDocument/2006/relationships/control" Target="../activeX/activeX136.xml"/><Relationship Id="rId202" Type="http://schemas.openxmlformats.org/officeDocument/2006/relationships/hyperlink" Target="http://www.land.gov.il/TozaotMichrazim/resultsDetailed.aspx?id=84923&amp;rc=68&amp;tr=1693" TargetMode="External"/><Relationship Id="rId647" Type="http://schemas.openxmlformats.org/officeDocument/2006/relationships/hyperlink" Target="http://www.land.gov.il/TozaotMichrazim/resultsDetailed.aspx?id=85429&amp;rc=574&amp;tr=1693" TargetMode="External"/><Relationship Id="rId854" Type="http://schemas.openxmlformats.org/officeDocument/2006/relationships/hyperlink" Target="http://www.land.gov.il/TozaotMichrazim/resultsDetailed.aspx?id=82741&amp;rc=840&amp;tr=1693" TargetMode="External"/><Relationship Id="rId1277" Type="http://schemas.openxmlformats.org/officeDocument/2006/relationships/hyperlink" Target="http://www.land.gov.il/TozaotMichrazim/resultsDetailed.aspx?id=79350&amp;rc=1330&amp;tr=1693" TargetMode="External"/><Relationship Id="rId1484" Type="http://schemas.openxmlformats.org/officeDocument/2006/relationships/hyperlink" Target="http://www.land.gov.il/TozaotMichrazim/resultsDetailed.aspx?id=80118&amp;rc=80&amp;tr=421" TargetMode="External"/><Relationship Id="rId1691" Type="http://schemas.openxmlformats.org/officeDocument/2006/relationships/hyperlink" Target="http://www.land.gov.il/TozaotMichrazim/resultsDetailed.aspx?id=83836&amp;rc=199&amp;tr=674" TargetMode="External"/><Relationship Id="rId1705" Type="http://schemas.openxmlformats.org/officeDocument/2006/relationships/hyperlink" Target="http://www.land.gov.il/TozaotMichrazim/resultsDetailed.aspx?id=81281&amp;rc=214&amp;tr=674" TargetMode="External"/><Relationship Id="rId1912" Type="http://schemas.openxmlformats.org/officeDocument/2006/relationships/hyperlink" Target="http://www.land.gov.il/TozaotMichrazim/resultsDetailed.aspx?id=79154&amp;rc=428&amp;tr=674" TargetMode="External"/><Relationship Id="rId2328" Type="http://schemas.openxmlformats.org/officeDocument/2006/relationships/hyperlink" Target="http://www.land.gov.il/TozaotMichrazim/resultsDetailed.aspx?id=87697&amp;rc=275&amp;tr=424" TargetMode="External"/><Relationship Id="rId2535" Type="http://schemas.openxmlformats.org/officeDocument/2006/relationships/hyperlink" Target="http://www.land.gov.il/TozaotMichrazim/resultsDetailed.aspx?id=47238&amp;rc=87&amp;tr=87" TargetMode="External"/><Relationship Id="rId2742" Type="http://schemas.openxmlformats.org/officeDocument/2006/relationships/control" Target="../activeX/activeX203.xml"/><Relationship Id="rId286" Type="http://schemas.openxmlformats.org/officeDocument/2006/relationships/hyperlink" Target="http://www.land.gov.il/TozaotMichrazim/resultsDetailed.aspx?id=85012&amp;rc=157&amp;tr=1693" TargetMode="External"/><Relationship Id="rId493" Type="http://schemas.openxmlformats.org/officeDocument/2006/relationships/hyperlink" Target="http://www.land.gov.il/TozaotMichrazim/resultsDetailed.aspx?id=85231&amp;rc=376&amp;tr=1693" TargetMode="External"/><Relationship Id="rId507" Type="http://schemas.openxmlformats.org/officeDocument/2006/relationships/hyperlink" Target="http://www.land.gov.il/TozaotMichrazim/resultsDetailed.aspx?id=85256&amp;rc=401&amp;tr=1693" TargetMode="External"/><Relationship Id="rId714" Type="http://schemas.openxmlformats.org/officeDocument/2006/relationships/hyperlink" Target="http://www.land.gov.il/TozaotMichrazim/resultsDetailed.aspx?id=85506&amp;rc=651&amp;tr=1693" TargetMode="External"/><Relationship Id="rId921" Type="http://schemas.openxmlformats.org/officeDocument/2006/relationships/hyperlink" Target="http://www.land.gov.il/TozaotMichrazim/resultsDetailed.aspx?id=82812&amp;rc=911&amp;tr=1693" TargetMode="External"/><Relationship Id="rId1137" Type="http://schemas.openxmlformats.org/officeDocument/2006/relationships/hyperlink" Target="http://www.land.gov.il/TozaotMichrazim/resultsDetailed.aspx?id=83070&amp;rc=1169&amp;tr=1693" TargetMode="External"/><Relationship Id="rId1344" Type="http://schemas.openxmlformats.org/officeDocument/2006/relationships/hyperlink" Target="http://www.land.gov.il/TozaotMichrazim/resultsDetailed.aspx?id=76245&amp;rc=1397&amp;tr=1693" TargetMode="External"/><Relationship Id="rId1551" Type="http://schemas.openxmlformats.org/officeDocument/2006/relationships/hyperlink" Target="http://www.land.gov.il/TozaotMichrazim/resultsDetailed.aspx?id=86447&amp;rc=38&amp;tr=674" TargetMode="External"/><Relationship Id="rId1789" Type="http://schemas.openxmlformats.org/officeDocument/2006/relationships/hyperlink" Target="http://www.land.gov.il/TozaotMichrazim/resultsDetailed.aspx?id=81372&amp;rc=305&amp;tr=674" TargetMode="External"/><Relationship Id="rId1996" Type="http://schemas.openxmlformats.org/officeDocument/2006/relationships/hyperlink" Target="http://www.land.gov.il/TozaotMichrazim/resultsDetailed.aspx?id=86031&amp;rc=17&amp;tr=440" TargetMode="External"/><Relationship Id="rId2174" Type="http://schemas.openxmlformats.org/officeDocument/2006/relationships/hyperlink" Target="http://www.land.gov.il/PirsumMichrazim/Aspx/pirsumDetails.aspx?id=%20%2082017%E9%ED&amp;rc=1&amp;tr=4" TargetMode="External"/><Relationship Id="rId2381" Type="http://schemas.openxmlformats.org/officeDocument/2006/relationships/hyperlink" Target="http://www.land.gov.il/TozaotMichrazim/resultsDetailed.aspx?id=87643&amp;rc=332&amp;tr=424" TargetMode="External"/><Relationship Id="rId2602" Type="http://schemas.openxmlformats.org/officeDocument/2006/relationships/control" Target="../activeX/activeX63.xml"/><Relationship Id="rId50" Type="http://schemas.openxmlformats.org/officeDocument/2006/relationships/hyperlink" Target="http://www.land.gov.il/TozaotMichrazim/resultsDetailed.aspx?id=84633&amp;rc=44&amp;tr=685" TargetMode="External"/><Relationship Id="rId146" Type="http://schemas.openxmlformats.org/officeDocument/2006/relationships/hyperlink" Target="http://www.land.gov.il/TozaotMichrazim/resultsDetailed.aspx?id=76561&amp;rc=148&amp;tr=685" TargetMode="External"/><Relationship Id="rId353" Type="http://schemas.openxmlformats.org/officeDocument/2006/relationships/hyperlink" Target="http://www.land.gov.il/TozaotMichrazim/resultsDetailed.aspx?id=85079&amp;rc=224&amp;tr=1693" TargetMode="External"/><Relationship Id="rId560" Type="http://schemas.openxmlformats.org/officeDocument/2006/relationships/hyperlink" Target="http://www.land.gov.il/TozaotMichrazim/resultsDetailed.aspx?id=85317&amp;rc=462&amp;tr=1693" TargetMode="External"/><Relationship Id="rId798" Type="http://schemas.openxmlformats.org/officeDocument/2006/relationships/hyperlink" Target="http://www.land.gov.il/TozaotMichrazim/resultsDetailed.aspx?id=82666&amp;rc=765&amp;tr=1693" TargetMode="External"/><Relationship Id="rId1190" Type="http://schemas.openxmlformats.org/officeDocument/2006/relationships/hyperlink" Target="http://www.land.gov.il/TozaotMichrazim/resultsDetailed.aspx?id=83129&amp;rc=1228&amp;tr=1693" TargetMode="External"/><Relationship Id="rId1204" Type="http://schemas.openxmlformats.org/officeDocument/2006/relationships/hyperlink" Target="http://www.land.gov.il/TozaotMichrazim/resultsDetailed.aspx?id=83145&amp;rc=1244&amp;tr=1693" TargetMode="External"/><Relationship Id="rId1411" Type="http://schemas.openxmlformats.org/officeDocument/2006/relationships/hyperlink" Target="http://www.land.gov.il/TozaotMichrazim/resultsDetailed.aspx?id=86700&amp;rc=4&amp;tr=43" TargetMode="External"/><Relationship Id="rId1649" Type="http://schemas.openxmlformats.org/officeDocument/2006/relationships/hyperlink" Target="http://www.land.gov.il/TozaotMichrazim/resultsDetailed.aspx?id=86545&amp;rc=136&amp;tr=674" TargetMode="External"/><Relationship Id="rId1856" Type="http://schemas.openxmlformats.org/officeDocument/2006/relationships/hyperlink" Target="http://www.land.gov.il/TozaotMichrazim/resultsDetailed.aspx?id=79936&amp;rc=372&amp;tr=674" TargetMode="External"/><Relationship Id="rId2034" Type="http://schemas.openxmlformats.org/officeDocument/2006/relationships/hyperlink" Target="http://www.land.gov.il/TozaotMichrazim/resultsDetailed.aspx?id=79135&amp;rc=60&amp;tr=440" TargetMode="External"/><Relationship Id="rId2241" Type="http://schemas.openxmlformats.org/officeDocument/2006/relationships/hyperlink" Target="http://www.land.gov.il/TozaotMichrazim/resultsDetailed.aspx?id=87845&amp;rc=25&amp;tr=424" TargetMode="External"/><Relationship Id="rId2479" Type="http://schemas.openxmlformats.org/officeDocument/2006/relationships/hyperlink" Target="http://www.land.gov.il/TozaotMichrazim/resultsDetailed.aspx?id=81162&amp;rc=31&amp;tr=87" TargetMode="External"/><Relationship Id="rId2686" Type="http://schemas.openxmlformats.org/officeDocument/2006/relationships/control" Target="../activeX/activeX147.xml"/><Relationship Id="rId213" Type="http://schemas.openxmlformats.org/officeDocument/2006/relationships/hyperlink" Target="http://www.land.gov.il/TozaotMichrazim/resultsDetailed.aspx?id=84934&amp;rc=79&amp;tr=1693" TargetMode="External"/><Relationship Id="rId420" Type="http://schemas.openxmlformats.org/officeDocument/2006/relationships/hyperlink" Target="http://www.land.gov.il/TozaotMichrazim/resultsDetailed.aspx?id=85156&amp;rc=301&amp;tr=1693" TargetMode="External"/><Relationship Id="rId658" Type="http://schemas.openxmlformats.org/officeDocument/2006/relationships/hyperlink" Target="http://www.land.gov.il/TozaotMichrazim/resultsDetailed.aspx?id=85441&amp;rc=586&amp;tr=1693" TargetMode="External"/><Relationship Id="rId865" Type="http://schemas.openxmlformats.org/officeDocument/2006/relationships/hyperlink" Target="http://www.land.gov.il/TozaotMichrazim/resultsDetailed.aspx?id=82753&amp;rc=852&amp;tr=1693" TargetMode="External"/><Relationship Id="rId1050" Type="http://schemas.openxmlformats.org/officeDocument/2006/relationships/hyperlink" Target="http://www.land.gov.il/TozaotMichrazim/resultsDetailed.aspx?id=82966&amp;rc=1065&amp;tr=1693" TargetMode="External"/><Relationship Id="rId1288" Type="http://schemas.openxmlformats.org/officeDocument/2006/relationships/hyperlink" Target="http://www.land.gov.il/TozaotMichrazim/resultsDetailed.aspx?id=79361&amp;rc=1341&amp;tr=1693" TargetMode="External"/><Relationship Id="rId1495" Type="http://schemas.openxmlformats.org/officeDocument/2006/relationships/hyperlink" Target="http://www.land.gov.il/TozaotMichrazim/resultsDetailed.aspx?id=80129&amp;rc=91&amp;tr=421" TargetMode="External"/><Relationship Id="rId1509" Type="http://schemas.openxmlformats.org/officeDocument/2006/relationships/hyperlink" Target="http://www.land.gov.il/TozaotMichrazim/resultsDetailed.aspx?id=79029&amp;rc=105&amp;tr=421" TargetMode="External"/><Relationship Id="rId1716" Type="http://schemas.openxmlformats.org/officeDocument/2006/relationships/hyperlink" Target="http://www.land.gov.il/TozaotMichrazim/resultsDetailed.aspx?id=81295&amp;rc=228&amp;tr=674" TargetMode="External"/><Relationship Id="rId1923" Type="http://schemas.openxmlformats.org/officeDocument/2006/relationships/hyperlink" Target="http://www.land.gov.il/TozaotMichrazim/resultsDetailed.aspx?id=76950&amp;rc=452&amp;tr=674" TargetMode="External"/><Relationship Id="rId2101" Type="http://schemas.openxmlformats.org/officeDocument/2006/relationships/hyperlink" Target="http://www.land.gov.il/TozaotMichrazim/resultsDetailed.aspx?id=79157&amp;rc=17&amp;tr=100" TargetMode="External"/><Relationship Id="rId2339" Type="http://schemas.openxmlformats.org/officeDocument/2006/relationships/hyperlink" Target="http://www.land.gov.il/TozaotMichrazim/resultsDetailed.aspx?id=87708&amp;rc=286&amp;tr=424" TargetMode="External"/><Relationship Id="rId2546" Type="http://schemas.openxmlformats.org/officeDocument/2006/relationships/control" Target="../activeX/activeX7.xml"/><Relationship Id="rId2753" Type="http://schemas.openxmlformats.org/officeDocument/2006/relationships/control" Target="../activeX/activeX214.xml"/><Relationship Id="rId297" Type="http://schemas.openxmlformats.org/officeDocument/2006/relationships/hyperlink" Target="http://www.land.gov.il/TozaotMichrazim/resultsDetailed.aspx?id=85023&amp;rc=168&amp;tr=1693" TargetMode="External"/><Relationship Id="rId518" Type="http://schemas.openxmlformats.org/officeDocument/2006/relationships/hyperlink" Target="http://www.land.gov.il/TozaotMichrazim/resultsDetailed.aspx?id=85267&amp;rc=412&amp;tr=1693" TargetMode="External"/><Relationship Id="rId725" Type="http://schemas.openxmlformats.org/officeDocument/2006/relationships/hyperlink" Target="http://www.land.gov.il/TozaotMichrazim/resultsDetailed.aspx?id=85517&amp;rc=662&amp;tr=1693" TargetMode="External"/><Relationship Id="rId932" Type="http://schemas.openxmlformats.org/officeDocument/2006/relationships/hyperlink" Target="http://www.land.gov.il/TozaotMichrazim/resultsDetailed.aspx?id=82824&amp;rc=923&amp;tr=1693" TargetMode="External"/><Relationship Id="rId1148" Type="http://schemas.openxmlformats.org/officeDocument/2006/relationships/hyperlink" Target="http://www.land.gov.il/TozaotMichrazim/resultsDetailed.aspx?id=83081&amp;rc=1180&amp;tr=1693" TargetMode="External"/><Relationship Id="rId1355" Type="http://schemas.openxmlformats.org/officeDocument/2006/relationships/hyperlink" Target="http://www.land.gov.il/TozaotMichrazim/resultsDetailed.aspx?id=76256&amp;rc=1408&amp;tr=1693" TargetMode="External"/><Relationship Id="rId1562" Type="http://schemas.openxmlformats.org/officeDocument/2006/relationships/hyperlink" Target="http://www.land.gov.il/TozaotMichrazim/resultsDetailed.aspx?id=86458&amp;rc=49&amp;tr=674" TargetMode="External"/><Relationship Id="rId2185" Type="http://schemas.openxmlformats.org/officeDocument/2006/relationships/hyperlink" Target="http://www.land.gov.il/PirsumMichrazim/Aspx/pirsumDetails.aspx?id=3962016%E1%F9&amp;rc=9&amp;tr=196" TargetMode="External"/><Relationship Id="rId2392" Type="http://schemas.openxmlformats.org/officeDocument/2006/relationships/hyperlink" Target="http://www.land.gov.il/TozaotMichrazim/resultsDetailed.aspx?id=87297&amp;rc=343&amp;tr=424" TargetMode="External"/><Relationship Id="rId2406" Type="http://schemas.openxmlformats.org/officeDocument/2006/relationships/hyperlink" Target="http://www.land.gov.il/TozaotMichrazim/resultsDetailed.aspx?id=87284&amp;rc=374&amp;tr=424" TargetMode="External"/><Relationship Id="rId2613" Type="http://schemas.openxmlformats.org/officeDocument/2006/relationships/control" Target="../activeX/activeX74.xml"/><Relationship Id="rId157" Type="http://schemas.openxmlformats.org/officeDocument/2006/relationships/hyperlink" Target="http://www.land.gov.il/TozaotMichrazim/resultsDetailed.aspx?id=76572&amp;rc=159&amp;tr=685" TargetMode="External"/><Relationship Id="rId364" Type="http://schemas.openxmlformats.org/officeDocument/2006/relationships/hyperlink" Target="http://www.land.gov.il/TozaotMichrazim/resultsDetailed.aspx?id=85090&amp;rc=235&amp;tr=1693" TargetMode="External"/><Relationship Id="rId1008" Type="http://schemas.openxmlformats.org/officeDocument/2006/relationships/hyperlink" Target="http://www.land.gov.il/TozaotMichrazim/resultsDetailed.aspx?id=82918&amp;rc=1017&amp;tr=1693" TargetMode="External"/><Relationship Id="rId1215" Type="http://schemas.openxmlformats.org/officeDocument/2006/relationships/hyperlink" Target="http://www.land.gov.il/TozaotMichrazim/resultsDetailed.aspx?id=83157&amp;rc=1256&amp;tr=1693" TargetMode="External"/><Relationship Id="rId1422" Type="http://schemas.openxmlformats.org/officeDocument/2006/relationships/hyperlink" Target="http://www.land.gov.il/TozaotMichrazim/resultsDetailed.aspx?id=87235&amp;rc=9&amp;tr=421" TargetMode="External"/><Relationship Id="rId1867" Type="http://schemas.openxmlformats.org/officeDocument/2006/relationships/hyperlink" Target="http://www.land.gov.il/TozaotMichrazim/resultsDetailed.aspx?id=79947&amp;rc=383&amp;tr=674" TargetMode="External"/><Relationship Id="rId2045" Type="http://schemas.openxmlformats.org/officeDocument/2006/relationships/hyperlink" Target="http://www.land.gov.il/TozaotMichrazim/resultsDetailed.aspx?id=77211&amp;rc=71&amp;tr=440" TargetMode="External"/><Relationship Id="rId2697" Type="http://schemas.openxmlformats.org/officeDocument/2006/relationships/control" Target="../activeX/activeX158.xml"/><Relationship Id="rId61" Type="http://schemas.openxmlformats.org/officeDocument/2006/relationships/hyperlink" Target="http://www.land.gov.il/TozaotMichrazim/resultsDetailed.aspx?id=84644&amp;rc=55&amp;tr=685" TargetMode="External"/><Relationship Id="rId571" Type="http://schemas.openxmlformats.org/officeDocument/2006/relationships/hyperlink" Target="http://www.land.gov.il/TozaotMichrazim/resultsDetailed.aspx?id=85328&amp;rc=473&amp;tr=1693" TargetMode="External"/><Relationship Id="rId669" Type="http://schemas.openxmlformats.org/officeDocument/2006/relationships/hyperlink" Target="http://www.land.gov.il/TozaotMichrazim/resultsDetailed.aspx?id=85455&amp;rc=600&amp;tr=1693" TargetMode="External"/><Relationship Id="rId876" Type="http://schemas.openxmlformats.org/officeDocument/2006/relationships/hyperlink" Target="http://www.land.gov.il/TozaotMichrazim/resultsDetailed.aspx?id=82764&amp;rc=863&amp;tr=1693" TargetMode="External"/><Relationship Id="rId1299" Type="http://schemas.openxmlformats.org/officeDocument/2006/relationships/hyperlink" Target="http://www.land.gov.il/TozaotMichrazim/resultsDetailed.aspx?id=78775&amp;rc=1352&amp;tr=1693" TargetMode="External"/><Relationship Id="rId1727" Type="http://schemas.openxmlformats.org/officeDocument/2006/relationships/hyperlink" Target="http://www.land.gov.il/TozaotMichrazim/resultsDetailed.aspx?id=81306&amp;rc=239&amp;tr=674" TargetMode="External"/><Relationship Id="rId1934" Type="http://schemas.openxmlformats.org/officeDocument/2006/relationships/hyperlink" Target="http://www.land.gov.il/TozaotMichrazim/resultsDetailed.aspx?id=76967&amp;rc=469&amp;tr=674" TargetMode="External"/><Relationship Id="rId2252" Type="http://schemas.openxmlformats.org/officeDocument/2006/relationships/hyperlink" Target="http://www.land.gov.il/TozaotMichrazim/resultsDetailed.aspx?id=87756&amp;rc=197&amp;tr=424" TargetMode="External"/><Relationship Id="rId2557" Type="http://schemas.openxmlformats.org/officeDocument/2006/relationships/control" Target="../activeX/activeX18.xml"/><Relationship Id="rId19" Type="http://schemas.openxmlformats.org/officeDocument/2006/relationships/hyperlink" Target="http://www.land.gov.il/TozaotMichrazim/resultsDetailed.aspx?id=84587&amp;rc=13&amp;tr=685" TargetMode="External"/><Relationship Id="rId224" Type="http://schemas.openxmlformats.org/officeDocument/2006/relationships/hyperlink" Target="http://www.land.gov.il/TozaotMichrazim/resultsDetailed.aspx?id=84945&amp;rc=90&amp;tr=1693" TargetMode="External"/><Relationship Id="rId431" Type="http://schemas.openxmlformats.org/officeDocument/2006/relationships/hyperlink" Target="http://www.land.gov.il/TozaotMichrazim/resultsDetailed.aspx?id=85167&amp;rc=312&amp;tr=1693" TargetMode="External"/><Relationship Id="rId529" Type="http://schemas.openxmlformats.org/officeDocument/2006/relationships/hyperlink" Target="http://www.land.gov.il/TozaotMichrazim/resultsDetailed.aspx?id=85281&amp;rc=426&amp;tr=1693" TargetMode="External"/><Relationship Id="rId736" Type="http://schemas.openxmlformats.org/officeDocument/2006/relationships/hyperlink" Target="http://www.land.gov.il/TozaotMichrazim/resultsDetailed.aspx?id=85541&amp;rc=686&amp;tr=1693" TargetMode="External"/><Relationship Id="rId1061" Type="http://schemas.openxmlformats.org/officeDocument/2006/relationships/hyperlink" Target="http://www.land.gov.il/TozaotMichrazim/resultsDetailed.aspx?id=82981&amp;rc=1080&amp;tr=1693" TargetMode="External"/><Relationship Id="rId1159" Type="http://schemas.openxmlformats.org/officeDocument/2006/relationships/hyperlink" Target="http://www.land.gov.il/TozaotMichrazim/resultsDetailed.aspx?id=83095&amp;rc=1194&amp;tr=1693" TargetMode="External"/><Relationship Id="rId1366" Type="http://schemas.openxmlformats.org/officeDocument/2006/relationships/hyperlink" Target="http://www.land.gov.il/TozaotMichrazim/resultsDetailed.aspx?id=76267&amp;rc=1419&amp;tr=1693" TargetMode="External"/><Relationship Id="rId2112" Type="http://schemas.openxmlformats.org/officeDocument/2006/relationships/hyperlink" Target="http://www.land.gov.il/IturTabot2/taba2.aspx?tbMerchav=217&amp;tUniqueID=0&amp;sSug=~&amp;tblView=tblView_45c4808e3c94&amp;tbMsTochnit=%25u05e2%25u05e4/%25u05de%25u05e7/6/12567" TargetMode="External"/><Relationship Id="rId2196" Type="http://schemas.openxmlformats.org/officeDocument/2006/relationships/hyperlink" Target="http://www.land.gov.il/PirsumMichrazim/Aspx/pirsumDetails.aspx?id=1972014%E1%F9&amp;rc=23&amp;tr=196" TargetMode="External"/><Relationship Id="rId2417" Type="http://schemas.openxmlformats.org/officeDocument/2006/relationships/hyperlink" Target="http://www.land.gov.il/TozaotMichrazim/resultsDetailed.aspx?id=87341&amp;rc=385&amp;tr=424" TargetMode="External"/><Relationship Id="rId2764" Type="http://schemas.openxmlformats.org/officeDocument/2006/relationships/control" Target="../activeX/activeX225.xml"/><Relationship Id="rId168" Type="http://schemas.openxmlformats.org/officeDocument/2006/relationships/hyperlink" Target="http://www.land.gov.il/TozaotMichrazim/resultsDetailed.aspx?id=84888&amp;rc=33&amp;tr=1693" TargetMode="External"/><Relationship Id="rId943" Type="http://schemas.openxmlformats.org/officeDocument/2006/relationships/hyperlink" Target="http://www.land.gov.il/TozaotMichrazim/resultsDetailed.aspx?id=82836&amp;rc=935&amp;tr=1693" TargetMode="External"/><Relationship Id="rId1019" Type="http://schemas.openxmlformats.org/officeDocument/2006/relationships/hyperlink" Target="http://www.land.gov.il/TozaotMichrazim/resultsDetailed.aspx?id=82930&amp;rc=1029&amp;tr=1693" TargetMode="External"/><Relationship Id="rId1573" Type="http://schemas.openxmlformats.org/officeDocument/2006/relationships/hyperlink" Target="http://www.land.gov.il/TozaotMichrazim/resultsDetailed.aspx?id=86469&amp;rc=60&amp;tr=674" TargetMode="External"/><Relationship Id="rId1780" Type="http://schemas.openxmlformats.org/officeDocument/2006/relationships/hyperlink" Target="http://www.land.gov.il/TozaotMichrazim/resultsDetailed.aspx?id=81361&amp;rc=294&amp;tr=674" TargetMode="External"/><Relationship Id="rId1878" Type="http://schemas.openxmlformats.org/officeDocument/2006/relationships/hyperlink" Target="http://www.land.gov.il/TozaotMichrazim/resultsDetailed.aspx?id=79958&amp;rc=394&amp;tr=674" TargetMode="External"/><Relationship Id="rId2624" Type="http://schemas.openxmlformats.org/officeDocument/2006/relationships/control" Target="../activeX/activeX85.xml"/><Relationship Id="rId72" Type="http://schemas.openxmlformats.org/officeDocument/2006/relationships/hyperlink" Target="http://www.land.gov.il/TozaotMichrazim/resultsDetailed.aspx?id=84655&amp;rc=66&amp;tr=685" TargetMode="External"/><Relationship Id="rId375" Type="http://schemas.openxmlformats.org/officeDocument/2006/relationships/hyperlink" Target="http://www.land.gov.il/TozaotMichrazim/resultsDetailed.aspx?id=85101&amp;rc=246&amp;tr=1693" TargetMode="External"/><Relationship Id="rId582" Type="http://schemas.openxmlformats.org/officeDocument/2006/relationships/hyperlink" Target="http://www.land.gov.il/TozaotMichrazim/resultsDetailed.aspx?id=85341&amp;rc=486&amp;tr=1693" TargetMode="External"/><Relationship Id="rId803" Type="http://schemas.openxmlformats.org/officeDocument/2006/relationships/hyperlink" Target="http://www.land.gov.il/TozaotMichrazim/resultsDetailed.aspx?id=82677&amp;rc=776&amp;tr=1693" TargetMode="External"/><Relationship Id="rId1226" Type="http://schemas.openxmlformats.org/officeDocument/2006/relationships/hyperlink" Target="http://www.land.gov.il/TozaotMichrazim/resultsDetailed.aspx?id=83178&amp;rc=1277&amp;tr=1693" TargetMode="External"/><Relationship Id="rId1433" Type="http://schemas.openxmlformats.org/officeDocument/2006/relationships/hyperlink" Target="http://www.land.gov.il/TozaotMichrazim/resultsDetailed.aspx?id=87246&amp;rc=20&amp;tr=421" TargetMode="External"/><Relationship Id="rId1640" Type="http://schemas.openxmlformats.org/officeDocument/2006/relationships/hyperlink" Target="http://www.land.gov.il/TozaotMichrazim/resultsDetailed.aspx?id=86536&amp;rc=127&amp;tr=674" TargetMode="External"/><Relationship Id="rId1738" Type="http://schemas.openxmlformats.org/officeDocument/2006/relationships/hyperlink" Target="http://www.land.gov.il/TozaotMichrazim/resultsDetailed.aspx?id=81318&amp;rc=251&amp;tr=674" TargetMode="External"/><Relationship Id="rId2056" Type="http://schemas.openxmlformats.org/officeDocument/2006/relationships/hyperlink" Target="http://www.land.gov.il/TozaotMichrazim/resultsDetailed.aspx?id=84596&amp;rc=5&amp;tr=177" TargetMode="External"/><Relationship Id="rId2263" Type="http://schemas.openxmlformats.org/officeDocument/2006/relationships/hyperlink" Target="http://www.land.gov.il/TozaotMichrazim/resultsDetailed.aspx?id=87768&amp;rc=208&amp;tr=424" TargetMode="External"/><Relationship Id="rId2470" Type="http://schemas.openxmlformats.org/officeDocument/2006/relationships/hyperlink" Target="http://www.land.gov.il/TozaotMichrazim/resultsDetailed.aspx?id=84837&amp;rc=22&amp;tr=87" TargetMode="External"/><Relationship Id="rId3" Type="http://schemas.openxmlformats.org/officeDocument/2006/relationships/hyperlink" Target="http://www.themarker.com/realestate/1.3061770" TargetMode="External"/><Relationship Id="rId235" Type="http://schemas.openxmlformats.org/officeDocument/2006/relationships/hyperlink" Target="http://www.land.gov.il/TozaotMichrazim/resultsDetailed.aspx?id=84956&amp;rc=101&amp;tr=1693" TargetMode="External"/><Relationship Id="rId442" Type="http://schemas.openxmlformats.org/officeDocument/2006/relationships/hyperlink" Target="http://www.land.gov.il/TozaotMichrazim/resultsDetailed.aspx?id=85178&amp;rc=323&amp;tr=1693" TargetMode="External"/><Relationship Id="rId887" Type="http://schemas.openxmlformats.org/officeDocument/2006/relationships/hyperlink" Target="http://www.land.gov.il/TozaotMichrazim/resultsDetailed.aspx?id=82776&amp;rc=875&amp;tr=1693" TargetMode="External"/><Relationship Id="rId1072" Type="http://schemas.openxmlformats.org/officeDocument/2006/relationships/hyperlink" Target="http://www.land.gov.il/TozaotMichrazim/resultsDetailed.aspx?id=82996&amp;rc=1095&amp;tr=1693" TargetMode="External"/><Relationship Id="rId1500" Type="http://schemas.openxmlformats.org/officeDocument/2006/relationships/hyperlink" Target="http://www.land.gov.il/TozaotMichrazim/resultsDetailed.aspx?id=80134&amp;rc=96&amp;tr=421" TargetMode="External"/><Relationship Id="rId1945" Type="http://schemas.openxmlformats.org/officeDocument/2006/relationships/hyperlink" Target="http://www.land.gov.il/TozaotMichrazim/resultsDetailed.aspx?id=76979&amp;rc=481&amp;tr=674" TargetMode="External"/><Relationship Id="rId2123" Type="http://schemas.openxmlformats.org/officeDocument/2006/relationships/hyperlink" Target="http://www.land.gov.il/IturTabot2/taba1.aspx?MisTochnit=%u05E0%u05EA/14/537/%u05D0&amp;Ishuv=7400" TargetMode="External"/><Relationship Id="rId2330" Type="http://schemas.openxmlformats.org/officeDocument/2006/relationships/hyperlink" Target="http://www.land.gov.il/TozaotMichrazim/resultsDetailed.aspx?id=87699&amp;rc=277&amp;tr=424" TargetMode="External"/><Relationship Id="rId2568" Type="http://schemas.openxmlformats.org/officeDocument/2006/relationships/control" Target="../activeX/activeX29.xml"/><Relationship Id="rId2775" Type="http://schemas.openxmlformats.org/officeDocument/2006/relationships/control" Target="../activeX/activeX236.xml"/><Relationship Id="rId302" Type="http://schemas.openxmlformats.org/officeDocument/2006/relationships/hyperlink" Target="http://www.land.gov.il/TozaotMichrazim/resultsDetailed.aspx?id=85028&amp;rc=173&amp;tr=1693" TargetMode="External"/><Relationship Id="rId747" Type="http://schemas.openxmlformats.org/officeDocument/2006/relationships/hyperlink" Target="http://www.land.gov.il/TozaotMichrazim/resultsDetailed.aspx?id=85556&amp;rc=701&amp;tr=1693" TargetMode="External"/><Relationship Id="rId954" Type="http://schemas.openxmlformats.org/officeDocument/2006/relationships/hyperlink" Target="http://www.land.gov.il/TozaotMichrazim/resultsDetailed.aspx?id=82849&amp;rc=948&amp;tr=1693" TargetMode="External"/><Relationship Id="rId1377" Type="http://schemas.openxmlformats.org/officeDocument/2006/relationships/hyperlink" Target="http://www.land.gov.il/TozaotMichrazim/resultsDetailed.aspx?id=76278&amp;rc=1430&amp;tr=1693" TargetMode="External"/><Relationship Id="rId1584" Type="http://schemas.openxmlformats.org/officeDocument/2006/relationships/hyperlink" Target="http://www.land.gov.il/TozaotMichrazim/resultsDetailed.aspx?id=86480&amp;rc=71&amp;tr=674" TargetMode="External"/><Relationship Id="rId1791" Type="http://schemas.openxmlformats.org/officeDocument/2006/relationships/hyperlink" Target="http://www.land.gov.il/TozaotMichrazim/resultsDetailed.aspx?id=81374&amp;rc=307&amp;tr=674" TargetMode="External"/><Relationship Id="rId1805" Type="http://schemas.openxmlformats.org/officeDocument/2006/relationships/hyperlink" Target="http://www.land.gov.il/TozaotMichrazim/resultsDetailed.aspx?id=81388&amp;rc=321&amp;tr=674" TargetMode="External"/><Relationship Id="rId2428" Type="http://schemas.openxmlformats.org/officeDocument/2006/relationships/hyperlink" Target="http://www.land.gov.il/TozaotMichrazim/resultsDetailed.aspx?id=87311&amp;rc=404&amp;tr=424" TargetMode="External"/><Relationship Id="rId2635" Type="http://schemas.openxmlformats.org/officeDocument/2006/relationships/control" Target="../activeX/activeX96.xml"/><Relationship Id="rId83" Type="http://schemas.openxmlformats.org/officeDocument/2006/relationships/hyperlink" Target="http://www.land.gov.il/TozaotMichrazim/resultsDetailed.aspx?id=84666&amp;rc=77&amp;tr=685" TargetMode="External"/><Relationship Id="rId179" Type="http://schemas.openxmlformats.org/officeDocument/2006/relationships/hyperlink" Target="http://www.land.gov.il/TozaotMichrazim/resultsDetailed.aspx?id=84899&amp;rc=44&amp;tr=1693" TargetMode="External"/><Relationship Id="rId386" Type="http://schemas.openxmlformats.org/officeDocument/2006/relationships/hyperlink" Target="http://www.land.gov.il/TozaotMichrazim/resultsDetailed.aspx?id=85112&amp;rc=257&amp;tr=1693" TargetMode="External"/><Relationship Id="rId593" Type="http://schemas.openxmlformats.org/officeDocument/2006/relationships/hyperlink" Target="http://www.land.gov.il/TozaotMichrazim/resultsDetailed.aspx?id=85358&amp;rc=503&amp;tr=1693" TargetMode="External"/><Relationship Id="rId607" Type="http://schemas.openxmlformats.org/officeDocument/2006/relationships/hyperlink" Target="http://www.land.gov.il/TozaotMichrazim/resultsDetailed.aspx?id=85379&amp;rc=524&amp;tr=1693" TargetMode="External"/><Relationship Id="rId814" Type="http://schemas.openxmlformats.org/officeDocument/2006/relationships/hyperlink" Target="http://www.land.gov.il/TozaotMichrazim/resultsDetailed.aspx?id=82689&amp;rc=788&amp;tr=1693" TargetMode="External"/><Relationship Id="rId1237" Type="http://schemas.openxmlformats.org/officeDocument/2006/relationships/hyperlink" Target="http://www.land.gov.il/TozaotMichrazim/resultsDetailed.aspx?id=80955&amp;rc=1289&amp;tr=1693" TargetMode="External"/><Relationship Id="rId1444" Type="http://schemas.openxmlformats.org/officeDocument/2006/relationships/hyperlink" Target="http://www.land.gov.il/TozaotMichrazim/resultsDetailed.aspx?id=87130&amp;rc=31&amp;tr=421" TargetMode="External"/><Relationship Id="rId1651" Type="http://schemas.openxmlformats.org/officeDocument/2006/relationships/hyperlink" Target="http://www.land.gov.il/TozaotMichrazim/resultsDetailed.aspx?id=86547&amp;rc=138&amp;tr=674" TargetMode="External"/><Relationship Id="rId1889" Type="http://schemas.openxmlformats.org/officeDocument/2006/relationships/hyperlink" Target="http://www.land.gov.il/TozaotMichrazim/resultsDetailed.aspx?id=79385&amp;rc=405&amp;tr=674" TargetMode="External"/><Relationship Id="rId2067" Type="http://schemas.openxmlformats.org/officeDocument/2006/relationships/hyperlink" Target="http://www.land.gov.il/TozaotMichrazim/resultsDetailed.aspx?id=87048&amp;rc=8&amp;tr=115" TargetMode="External"/><Relationship Id="rId2274" Type="http://schemas.openxmlformats.org/officeDocument/2006/relationships/hyperlink" Target="http://www.land.gov.il/TozaotMichrazim/resultsDetailed.aspx?id=87781&amp;rc=220&amp;tr=424" TargetMode="External"/><Relationship Id="rId2481" Type="http://schemas.openxmlformats.org/officeDocument/2006/relationships/hyperlink" Target="http://www.land.gov.il/TozaotMichrazim/resultsDetailed.aspx?id=81164&amp;rc=33&amp;tr=87" TargetMode="External"/><Relationship Id="rId2702" Type="http://schemas.openxmlformats.org/officeDocument/2006/relationships/control" Target="../activeX/activeX163.xml"/><Relationship Id="rId246" Type="http://schemas.openxmlformats.org/officeDocument/2006/relationships/hyperlink" Target="http://www.land.gov.il/TozaotMichrazim/resultsDetailed.aspx?id=84968&amp;rc=113&amp;tr=1693" TargetMode="External"/><Relationship Id="rId453" Type="http://schemas.openxmlformats.org/officeDocument/2006/relationships/hyperlink" Target="http://www.land.gov.il/TozaotMichrazim/resultsDetailed.aspx?id=85189&amp;rc=334&amp;tr=1693" TargetMode="External"/><Relationship Id="rId660" Type="http://schemas.openxmlformats.org/officeDocument/2006/relationships/hyperlink" Target="http://www.land.gov.il/TozaotMichrazim/resultsDetailed.aspx?id=85443&amp;rc=588&amp;tr=1693" TargetMode="External"/><Relationship Id="rId898" Type="http://schemas.openxmlformats.org/officeDocument/2006/relationships/hyperlink" Target="http://www.land.gov.il/TozaotMichrazim/resultsDetailed.aspx?id=82787&amp;rc=886&amp;tr=1693" TargetMode="External"/><Relationship Id="rId1083" Type="http://schemas.openxmlformats.org/officeDocument/2006/relationships/hyperlink" Target="http://www.land.gov.il/TozaotMichrazim/resultsDetailed.aspx?id=83011&amp;rc=1110&amp;tr=1693" TargetMode="External"/><Relationship Id="rId1290" Type="http://schemas.openxmlformats.org/officeDocument/2006/relationships/hyperlink" Target="http://www.land.gov.il/TozaotMichrazim/resultsDetailed.aspx?id=79363&amp;rc=1343&amp;tr=1693" TargetMode="External"/><Relationship Id="rId1304" Type="http://schemas.openxmlformats.org/officeDocument/2006/relationships/hyperlink" Target="http://www.land.gov.il/TozaotMichrazim/resultsDetailed.aspx?id=78780&amp;rc=1357&amp;tr=1693" TargetMode="External"/><Relationship Id="rId1511" Type="http://schemas.openxmlformats.org/officeDocument/2006/relationships/hyperlink" Target="http://www.land.gov.il/TozaotMichrazim/resultsDetailed.aspx?id=86278&amp;rc=2&amp;tr=679" TargetMode="External"/><Relationship Id="rId1749" Type="http://schemas.openxmlformats.org/officeDocument/2006/relationships/hyperlink" Target="http://www.land.gov.il/TozaotMichrazim/resultsDetailed.aspx?id=81329&amp;rc=262&amp;tr=674" TargetMode="External"/><Relationship Id="rId1956" Type="http://schemas.openxmlformats.org/officeDocument/2006/relationships/hyperlink" Target="http://www.land.gov.il/TozaotMichrazim/resultsDetailed.aspx?id=76990&amp;rc=492&amp;tr=674" TargetMode="External"/><Relationship Id="rId2134" Type="http://schemas.openxmlformats.org/officeDocument/2006/relationships/hyperlink" Target="http://www.land.gov.il/IturTabot2/taba2.aspx?tbMerchav=419&amp;tUniqueID=0&amp;sSug=~&amp;tblView=tblView_be979bf82c88&amp;tbMsTochnit=%25u05dc%25u05d4/188" TargetMode="External"/><Relationship Id="rId2341" Type="http://schemas.openxmlformats.org/officeDocument/2006/relationships/hyperlink" Target="http://www.land.gov.il/TozaotMichrazim/resultsDetailed.aspx?id=87710&amp;rc=288&amp;tr=424" TargetMode="External"/><Relationship Id="rId2579" Type="http://schemas.openxmlformats.org/officeDocument/2006/relationships/control" Target="../activeX/activeX40.xml"/><Relationship Id="rId2786" Type="http://schemas.openxmlformats.org/officeDocument/2006/relationships/control" Target="../activeX/activeX247.xml"/><Relationship Id="rId106" Type="http://schemas.openxmlformats.org/officeDocument/2006/relationships/hyperlink" Target="http://www.land.gov.il/TozaotMichrazim/resultsDetailed.aspx?id=84689&amp;rc=100&amp;tr=685" TargetMode="External"/><Relationship Id="rId313" Type="http://schemas.openxmlformats.org/officeDocument/2006/relationships/hyperlink" Target="http://www.land.gov.il/TozaotMichrazim/resultsDetailed.aspx?id=85039&amp;rc=184&amp;tr=1693" TargetMode="External"/><Relationship Id="rId758" Type="http://schemas.openxmlformats.org/officeDocument/2006/relationships/hyperlink" Target="http://www.land.gov.il/TozaotMichrazim/resultsDetailed.aspx?id=85569&amp;rc=714&amp;tr=1693" TargetMode="External"/><Relationship Id="rId965" Type="http://schemas.openxmlformats.org/officeDocument/2006/relationships/hyperlink" Target="http://www.land.gov.il/TozaotMichrazim/resultsDetailed.aspx?id=82861&amp;rc=960&amp;tr=1693" TargetMode="External"/><Relationship Id="rId1150" Type="http://schemas.openxmlformats.org/officeDocument/2006/relationships/hyperlink" Target="http://www.land.gov.il/TozaotMichrazim/resultsDetailed.aspx?id=83083&amp;rc=1182&amp;tr=1693" TargetMode="External"/><Relationship Id="rId1388" Type="http://schemas.openxmlformats.org/officeDocument/2006/relationships/hyperlink" Target="http://www.land.gov.il/TozaotMichrazim/resultsDetailed.aspx?id=76150&amp;rc=1443&amp;tr=1693" TargetMode="External"/><Relationship Id="rId1595" Type="http://schemas.openxmlformats.org/officeDocument/2006/relationships/hyperlink" Target="http://www.land.gov.il/TozaotMichrazim/resultsDetailed.aspx?id=86491&amp;rc=82&amp;tr=674" TargetMode="External"/><Relationship Id="rId1609" Type="http://schemas.openxmlformats.org/officeDocument/2006/relationships/hyperlink" Target="http://www.land.gov.il/TozaotMichrazim/resultsDetailed.aspx?id=86505&amp;rc=96&amp;tr=674" TargetMode="External"/><Relationship Id="rId1816" Type="http://schemas.openxmlformats.org/officeDocument/2006/relationships/hyperlink" Target="http://www.land.gov.il/TozaotMichrazim/resultsDetailed.aspx?id=81399&amp;rc=332&amp;tr=674" TargetMode="External"/><Relationship Id="rId2439" Type="http://schemas.openxmlformats.org/officeDocument/2006/relationships/hyperlink" Target="http://www.land.gov.il/TozaotMichrazim/resultsDetailed.aspx?id=87322&amp;rc=415&amp;tr=424" TargetMode="External"/><Relationship Id="rId2646" Type="http://schemas.openxmlformats.org/officeDocument/2006/relationships/control" Target="../activeX/activeX107.xml"/><Relationship Id="rId10" Type="http://schemas.openxmlformats.org/officeDocument/2006/relationships/hyperlink" Target="http://www.land.gov.il/TozaotMichrazim/resultsDetailed.aspx?id=84811&amp;rc=4&amp;tr=685" TargetMode="External"/><Relationship Id="rId94" Type="http://schemas.openxmlformats.org/officeDocument/2006/relationships/hyperlink" Target="http://www.land.gov.il/TozaotMichrazim/resultsDetailed.aspx?id=84677&amp;rc=88&amp;tr=685" TargetMode="External"/><Relationship Id="rId397" Type="http://schemas.openxmlformats.org/officeDocument/2006/relationships/hyperlink" Target="http://www.land.gov.il/TozaotMichrazim/resultsDetailed.aspx?id=85126&amp;rc=271&amp;tr=1693" TargetMode="External"/><Relationship Id="rId520" Type="http://schemas.openxmlformats.org/officeDocument/2006/relationships/hyperlink" Target="http://www.land.gov.il/TozaotMichrazim/resultsDetailed.aspx?id=85269&amp;rc=414&amp;tr=1693" TargetMode="External"/><Relationship Id="rId618" Type="http://schemas.openxmlformats.org/officeDocument/2006/relationships/hyperlink" Target="http://www.land.gov.il/TozaotMichrazim/resultsDetailed.aspx?id=85393&amp;rc=538&amp;tr=1693" TargetMode="External"/><Relationship Id="rId825" Type="http://schemas.openxmlformats.org/officeDocument/2006/relationships/hyperlink" Target="http://www.land.gov.il/TozaotMichrazim/resultsDetailed.aspx?id=82707&amp;rc=806&amp;tr=1693" TargetMode="External"/><Relationship Id="rId1248" Type="http://schemas.openxmlformats.org/officeDocument/2006/relationships/hyperlink" Target="http://www.land.gov.il/TozaotMichrazim/resultsDetailed.aspx?id=79321&amp;rc=1301&amp;tr=1693" TargetMode="External"/><Relationship Id="rId1455" Type="http://schemas.openxmlformats.org/officeDocument/2006/relationships/hyperlink" Target="http://www.land.gov.il/TozaotMichrazim/resultsDetailed.aspx?id=84743&amp;rc=44&amp;tr=421" TargetMode="External"/><Relationship Id="rId1662" Type="http://schemas.openxmlformats.org/officeDocument/2006/relationships/hyperlink" Target="http://www.land.gov.il/TozaotMichrazim/resultsDetailed.aspx?id=86252&amp;rc=150&amp;tr=674" TargetMode="External"/><Relationship Id="rId2078" Type="http://schemas.openxmlformats.org/officeDocument/2006/relationships/hyperlink" Target="http://www.land.gov.il/TozaotMichrazim/resultsDetailed.aspx?id=87059&amp;rc=19&amp;tr=115" TargetMode="External"/><Relationship Id="rId2201" Type="http://schemas.openxmlformats.org/officeDocument/2006/relationships/hyperlink" Target="http://www.land.gov.il/PirsumMichrazim/Aspx/pirsumDetails.aspx?id=3372015%E9%ED&amp;rc=8&amp;tr=74" TargetMode="External"/><Relationship Id="rId2285" Type="http://schemas.openxmlformats.org/officeDocument/2006/relationships/hyperlink" Target="http://www.land.gov.il/TozaotMichrazim/resultsDetailed.aspx?id=87654&amp;rc=232&amp;tr=424" TargetMode="External"/><Relationship Id="rId2492" Type="http://schemas.openxmlformats.org/officeDocument/2006/relationships/hyperlink" Target="http://www.land.gov.il/TozaotMichrazim/resultsDetailed.aspx?id=73463&amp;rc=44&amp;tr=87" TargetMode="External"/><Relationship Id="rId2506" Type="http://schemas.openxmlformats.org/officeDocument/2006/relationships/hyperlink" Target="http://www.land.gov.il/TozaotMichrazim/resultsDetailed.aspx?id=71346&amp;rc=58&amp;tr=87" TargetMode="External"/><Relationship Id="rId257" Type="http://schemas.openxmlformats.org/officeDocument/2006/relationships/hyperlink" Target="http://www.land.gov.il/TozaotMichrazim/resultsDetailed.aspx?id=84983&amp;rc=128&amp;tr=1693" TargetMode="External"/><Relationship Id="rId464" Type="http://schemas.openxmlformats.org/officeDocument/2006/relationships/hyperlink" Target="http://www.land.gov.il/TozaotMichrazim/resultsDetailed.aspx?id=85200&amp;rc=345&amp;tr=1693" TargetMode="External"/><Relationship Id="rId1010" Type="http://schemas.openxmlformats.org/officeDocument/2006/relationships/hyperlink" Target="http://www.land.gov.il/TozaotMichrazim/resultsDetailed.aspx?id=82920&amp;rc=1019&amp;tr=1693" TargetMode="External"/><Relationship Id="rId1094" Type="http://schemas.openxmlformats.org/officeDocument/2006/relationships/hyperlink" Target="http://www.land.gov.il/TozaotMichrazim/resultsDetailed.aspx?id=83022&amp;rc=1121&amp;tr=1693" TargetMode="External"/><Relationship Id="rId1108" Type="http://schemas.openxmlformats.org/officeDocument/2006/relationships/hyperlink" Target="http://www.land.gov.il/TozaotMichrazim/resultsDetailed.aspx?id=83038&amp;rc=1137&amp;tr=1693" TargetMode="External"/><Relationship Id="rId1315" Type="http://schemas.openxmlformats.org/officeDocument/2006/relationships/hyperlink" Target="http://www.land.gov.il/TozaotMichrazim/resultsDetailed.aspx?id=77698&amp;rc=1368&amp;tr=1693" TargetMode="External"/><Relationship Id="rId1967" Type="http://schemas.openxmlformats.org/officeDocument/2006/relationships/hyperlink" Target="http://www.land.gov.il/TozaotMichrazim/resultsDetailed.aspx?id=77001&amp;rc=503&amp;tr=674" TargetMode="External"/><Relationship Id="rId2145" Type="http://schemas.openxmlformats.org/officeDocument/2006/relationships/hyperlink" Target="http://www.land.gov.il/IturTabot2/taba2.aspx?tbMerchav=425&amp;tUniqueID=0&amp;sSug=~&amp;tblView=tblView_876d2734474b&amp;tbMsTochnit=%25u05e8%25u05e0/250/%25u05d0" TargetMode="External"/><Relationship Id="rId2713" Type="http://schemas.openxmlformats.org/officeDocument/2006/relationships/control" Target="../activeX/activeX174.xml"/><Relationship Id="rId2797" Type="http://schemas.openxmlformats.org/officeDocument/2006/relationships/control" Target="../activeX/activeX258.xml"/><Relationship Id="rId117" Type="http://schemas.openxmlformats.org/officeDocument/2006/relationships/hyperlink" Target="http://www.land.gov.il/TozaotMichrazim/resultsDetailed.aspx?id=81801&amp;rc=111&amp;tr=685" TargetMode="External"/><Relationship Id="rId671" Type="http://schemas.openxmlformats.org/officeDocument/2006/relationships/hyperlink" Target="http://www.land.gov.il/TozaotMichrazim/resultsDetailed.aspx?id=85457&amp;rc=602&amp;tr=1693" TargetMode="External"/><Relationship Id="rId769" Type="http://schemas.openxmlformats.org/officeDocument/2006/relationships/hyperlink" Target="http://www.land.gov.il/TozaotMichrazim/resultsDetailed.aspx?id=83207&amp;rc=725&amp;tr=1693" TargetMode="External"/><Relationship Id="rId976" Type="http://schemas.openxmlformats.org/officeDocument/2006/relationships/hyperlink" Target="http://www.land.gov.il/TozaotMichrazim/resultsDetailed.aspx?id=82879&amp;rc=978&amp;tr=1693" TargetMode="External"/><Relationship Id="rId1399" Type="http://schemas.openxmlformats.org/officeDocument/2006/relationships/hyperlink" Target="http://www.land.gov.il/TozaotMichrazim/resultsDetailed.aspx?id=81694&amp;rc=14&amp;tr=79" TargetMode="External"/><Relationship Id="rId2352" Type="http://schemas.openxmlformats.org/officeDocument/2006/relationships/hyperlink" Target="http://www.land.gov.il/TozaotMichrazim/resultsDetailed.aspx?id=87721&amp;rc=299&amp;tr=424" TargetMode="External"/><Relationship Id="rId2657" Type="http://schemas.openxmlformats.org/officeDocument/2006/relationships/control" Target="../activeX/activeX118.xml"/><Relationship Id="rId324" Type="http://schemas.openxmlformats.org/officeDocument/2006/relationships/hyperlink" Target="http://www.land.gov.il/TozaotMichrazim/resultsDetailed.aspx?id=85050&amp;rc=195&amp;tr=1693" TargetMode="External"/><Relationship Id="rId531" Type="http://schemas.openxmlformats.org/officeDocument/2006/relationships/hyperlink" Target="http://www.land.gov.il/TozaotMichrazim/resultsDetailed.aspx?id=85283&amp;rc=428&amp;tr=1693" TargetMode="External"/><Relationship Id="rId629" Type="http://schemas.openxmlformats.org/officeDocument/2006/relationships/hyperlink" Target="http://www.land.gov.il/TozaotMichrazim/resultsDetailed.aspx?id=85407&amp;rc=552&amp;tr=1693" TargetMode="External"/><Relationship Id="rId1161" Type="http://schemas.openxmlformats.org/officeDocument/2006/relationships/hyperlink" Target="http://www.land.gov.il/TozaotMichrazim/resultsDetailed.aspx?id=83098&amp;rc=1197&amp;tr=1693" TargetMode="External"/><Relationship Id="rId1259" Type="http://schemas.openxmlformats.org/officeDocument/2006/relationships/hyperlink" Target="http://www.land.gov.il/TozaotMichrazim/resultsDetailed.aspx?id=79332&amp;rc=1312&amp;tr=1693" TargetMode="External"/><Relationship Id="rId1466" Type="http://schemas.openxmlformats.org/officeDocument/2006/relationships/hyperlink" Target="http://www.land.gov.il/TozaotMichrazim/resultsDetailed.aspx?id=81925&amp;rc=55&amp;tr=421" TargetMode="External"/><Relationship Id="rId2005" Type="http://schemas.openxmlformats.org/officeDocument/2006/relationships/hyperlink" Target="http://www.land.gov.il/TozaotMichrazim/resultsDetailed.aspx?id=83632&amp;rc=29&amp;tr=440" TargetMode="External"/><Relationship Id="rId2212" Type="http://schemas.openxmlformats.org/officeDocument/2006/relationships/hyperlink" Target="http://www.land.gov.il/TozaotMichrazim/Results.aspx?NewSearch=true&amp;ynmichraz=2014&amp;anMichraz=%e7%e9&amp;Nnmichraz=359" TargetMode="External"/><Relationship Id="rId836" Type="http://schemas.openxmlformats.org/officeDocument/2006/relationships/hyperlink" Target="http://www.land.gov.il/TozaotMichrazim/resultsDetailed.aspx?id=82722&amp;rc=821&amp;tr=1693" TargetMode="External"/><Relationship Id="rId1021" Type="http://schemas.openxmlformats.org/officeDocument/2006/relationships/hyperlink" Target="http://www.land.gov.il/TozaotMichrazim/resultsDetailed.aspx?id=82932&amp;rc=1031&amp;tr=1693" TargetMode="External"/><Relationship Id="rId1119" Type="http://schemas.openxmlformats.org/officeDocument/2006/relationships/hyperlink" Target="http://www.land.gov.il/TozaotMichrazim/resultsDetailed.aspx?id=83050&amp;rc=1149&amp;tr=1693" TargetMode="External"/><Relationship Id="rId1673" Type="http://schemas.openxmlformats.org/officeDocument/2006/relationships/hyperlink" Target="http://www.land.gov.il/TozaotMichrazim/resultsDetailed.aspx?id=84701&amp;rc=163&amp;tr=674" TargetMode="External"/><Relationship Id="rId1880" Type="http://schemas.openxmlformats.org/officeDocument/2006/relationships/hyperlink" Target="http://www.land.gov.il/TozaotMichrazim/resultsDetailed.aspx?id=79960&amp;rc=396&amp;tr=674" TargetMode="External"/><Relationship Id="rId1978" Type="http://schemas.openxmlformats.org/officeDocument/2006/relationships/hyperlink" Target="http://www.land.gov.il/TozaotMichrazim/resultsDetailed.aspx?id=74093&amp;rc=515&amp;tr=674" TargetMode="External"/><Relationship Id="rId2517" Type="http://schemas.openxmlformats.org/officeDocument/2006/relationships/hyperlink" Target="http://www.land.gov.il/TozaotMichrazim/resultsDetailed.aspx?id=71357&amp;rc=69&amp;tr=87" TargetMode="External"/><Relationship Id="rId2724" Type="http://schemas.openxmlformats.org/officeDocument/2006/relationships/control" Target="../activeX/activeX185.xml"/><Relationship Id="rId903" Type="http://schemas.openxmlformats.org/officeDocument/2006/relationships/hyperlink" Target="http://www.land.gov.il/TozaotMichrazim/resultsDetailed.aspx?id=82793&amp;rc=892&amp;tr=1693" TargetMode="External"/><Relationship Id="rId1326" Type="http://schemas.openxmlformats.org/officeDocument/2006/relationships/hyperlink" Target="http://www.land.gov.il/TozaotMichrazim/resultsDetailed.aspx?id=76227&amp;rc=1379&amp;tr=1693" TargetMode="External"/><Relationship Id="rId1533" Type="http://schemas.openxmlformats.org/officeDocument/2006/relationships/hyperlink" Target="http://www.land.gov.il/TozaotMichrazim/resultsDetailed.aspx?id=86429&amp;rc=20&amp;tr=674" TargetMode="External"/><Relationship Id="rId1740" Type="http://schemas.openxmlformats.org/officeDocument/2006/relationships/hyperlink" Target="http://www.land.gov.il/TozaotMichrazim/resultsDetailed.aspx?id=81320&amp;rc=253&amp;tr=674" TargetMode="External"/><Relationship Id="rId32" Type="http://schemas.openxmlformats.org/officeDocument/2006/relationships/hyperlink" Target="http://www.land.gov.il/TozaotMichrazim/resultsDetailed.aspx?id=84615&amp;rc=26&amp;tr=685" TargetMode="External"/><Relationship Id="rId1600" Type="http://schemas.openxmlformats.org/officeDocument/2006/relationships/hyperlink" Target="http://www.land.gov.il/TozaotMichrazim/resultsDetailed.aspx?id=86496&amp;rc=87&amp;tr=674" TargetMode="External"/><Relationship Id="rId1838" Type="http://schemas.openxmlformats.org/officeDocument/2006/relationships/hyperlink" Target="http://www.land.gov.il/TozaotMichrazim/resultsDetailed.aspx?id=79918&amp;rc=354&amp;tr=674" TargetMode="External"/><Relationship Id="rId181" Type="http://schemas.openxmlformats.org/officeDocument/2006/relationships/hyperlink" Target="http://www.land.gov.il/TozaotMichrazim/resultsDetailed.aspx?id=84901&amp;rc=46&amp;tr=1693" TargetMode="External"/><Relationship Id="rId1905" Type="http://schemas.openxmlformats.org/officeDocument/2006/relationships/hyperlink" Target="http://www.land.gov.il/TozaotMichrazim/resultsDetailed.aspx?id=79401&amp;rc=421&amp;tr=674" TargetMode="External"/><Relationship Id="rId279" Type="http://schemas.openxmlformats.org/officeDocument/2006/relationships/hyperlink" Target="http://www.land.gov.il/TozaotMichrazim/resultsDetailed.aspx?id=85005&amp;rc=150&amp;tr=1693" TargetMode="External"/><Relationship Id="rId486" Type="http://schemas.openxmlformats.org/officeDocument/2006/relationships/hyperlink" Target="http://www.land.gov.il/TozaotMichrazim/resultsDetailed.aspx?id=85223&amp;rc=368&amp;tr=1693" TargetMode="External"/><Relationship Id="rId693" Type="http://schemas.openxmlformats.org/officeDocument/2006/relationships/hyperlink" Target="http://www.land.gov.il/TozaotMichrazim/resultsDetailed.aspx?id=85480&amp;rc=625&amp;tr=1693" TargetMode="External"/><Relationship Id="rId2167" Type="http://schemas.openxmlformats.org/officeDocument/2006/relationships/hyperlink" Target="http://www.land.gov.il/PirsumMichrazim/Aspx/pirsumDetails.aspx?id=1012016%FA%E0&amp;rc=1&amp;tr=2" TargetMode="External"/><Relationship Id="rId2374" Type="http://schemas.openxmlformats.org/officeDocument/2006/relationships/hyperlink" Target="http://www.land.gov.il/TozaotMichrazim/resultsDetailed.aspx?id=87743&amp;rc=321&amp;tr=424" TargetMode="External"/><Relationship Id="rId2581" Type="http://schemas.openxmlformats.org/officeDocument/2006/relationships/control" Target="../activeX/activeX42.xml"/><Relationship Id="rId139" Type="http://schemas.openxmlformats.org/officeDocument/2006/relationships/hyperlink" Target="http://www.land.gov.il/TozaotMichrazim/resultsDetailed.aspx?id=76747&amp;rc=139&amp;tr=685" TargetMode="External"/><Relationship Id="rId346" Type="http://schemas.openxmlformats.org/officeDocument/2006/relationships/hyperlink" Target="http://www.land.gov.il/TozaotMichrazim/resultsDetailed.aspx?id=85072&amp;rc=217&amp;tr=1693" TargetMode="External"/><Relationship Id="rId553" Type="http://schemas.openxmlformats.org/officeDocument/2006/relationships/hyperlink" Target="http://www.land.gov.il/TozaotMichrazim/resultsDetailed.aspx?id=85308&amp;rc=453&amp;tr=1693" TargetMode="External"/><Relationship Id="rId760" Type="http://schemas.openxmlformats.org/officeDocument/2006/relationships/hyperlink" Target="http://www.land.gov.il/TozaotMichrazim/resultsDetailed.aspx?id=85571&amp;rc=716&amp;tr=1693" TargetMode="External"/><Relationship Id="rId998" Type="http://schemas.openxmlformats.org/officeDocument/2006/relationships/hyperlink" Target="http://www.land.gov.il/TozaotMichrazim/resultsDetailed.aspx?id=82907&amp;rc=1006&amp;tr=1693" TargetMode="External"/><Relationship Id="rId1183" Type="http://schemas.openxmlformats.org/officeDocument/2006/relationships/hyperlink" Target="http://www.land.gov.il/TozaotMichrazim/resultsDetailed.aspx?id=83122&amp;rc=1221&amp;tr=1693" TargetMode="External"/><Relationship Id="rId1390" Type="http://schemas.openxmlformats.org/officeDocument/2006/relationships/hyperlink" Target="http://www.land.gov.il/TozaotMichrazim/resultsDetailed.aspx?id=76152&amp;rc=1445&amp;tr=1693" TargetMode="External"/><Relationship Id="rId2027" Type="http://schemas.openxmlformats.org/officeDocument/2006/relationships/hyperlink" Target="http://www.land.gov.il/TozaotMichrazim/resultsDetailed.aspx?id=79128&amp;rc=53&amp;tr=440" TargetMode="External"/><Relationship Id="rId2234" Type="http://schemas.openxmlformats.org/officeDocument/2006/relationships/hyperlink" Target="http://www.land.gov.il/TozaotMichrazim/resultsDetailed.aspx?id=87894&amp;rc=18&amp;tr=424" TargetMode="External"/><Relationship Id="rId2441" Type="http://schemas.openxmlformats.org/officeDocument/2006/relationships/hyperlink" Target="http://www.land.gov.il/TozaotMichrazim/resultsDetailed.aspx?id=87324&amp;rc=417&amp;tr=424" TargetMode="External"/><Relationship Id="rId2679" Type="http://schemas.openxmlformats.org/officeDocument/2006/relationships/control" Target="../activeX/activeX140.xml"/><Relationship Id="rId206" Type="http://schemas.openxmlformats.org/officeDocument/2006/relationships/hyperlink" Target="http://www.land.gov.il/TozaotMichrazim/resultsDetailed.aspx?id=84927&amp;rc=72&amp;tr=1693" TargetMode="External"/><Relationship Id="rId413" Type="http://schemas.openxmlformats.org/officeDocument/2006/relationships/hyperlink" Target="http://www.land.gov.il/TozaotMichrazim/resultsDetailed.aspx?id=85148&amp;rc=293&amp;tr=1693" TargetMode="External"/><Relationship Id="rId858" Type="http://schemas.openxmlformats.org/officeDocument/2006/relationships/hyperlink" Target="http://www.land.gov.il/TozaotMichrazim/resultsDetailed.aspx?id=82746&amp;rc=845&amp;tr=1693" TargetMode="External"/><Relationship Id="rId1043" Type="http://schemas.openxmlformats.org/officeDocument/2006/relationships/hyperlink" Target="http://www.land.gov.il/TozaotMichrazim/resultsDetailed.aspx?id=82959&amp;rc=1058&amp;tr=1693" TargetMode="External"/><Relationship Id="rId1488" Type="http://schemas.openxmlformats.org/officeDocument/2006/relationships/hyperlink" Target="http://www.land.gov.il/TozaotMichrazim/resultsDetailed.aspx?id=80122&amp;rc=84&amp;tr=421" TargetMode="External"/><Relationship Id="rId1695" Type="http://schemas.openxmlformats.org/officeDocument/2006/relationships/hyperlink" Target="http://www.land.gov.il/TozaotMichrazim/resultsDetailed.aspx?id=83388&amp;rc=203&amp;tr=674" TargetMode="External"/><Relationship Id="rId2539" Type="http://schemas.openxmlformats.org/officeDocument/2006/relationships/control" Target="../activeX/activeX1.xml"/><Relationship Id="rId2746" Type="http://schemas.openxmlformats.org/officeDocument/2006/relationships/control" Target="../activeX/activeX207.xml"/><Relationship Id="rId620" Type="http://schemas.openxmlformats.org/officeDocument/2006/relationships/hyperlink" Target="http://www.land.gov.il/TozaotMichrazim/resultsDetailed.aspx?id=85395&amp;rc=540&amp;tr=1693" TargetMode="External"/><Relationship Id="rId718" Type="http://schemas.openxmlformats.org/officeDocument/2006/relationships/hyperlink" Target="http://www.land.gov.il/TozaotMichrazim/resultsDetailed.aspx?id=85510&amp;rc=655&amp;tr=1693" TargetMode="External"/><Relationship Id="rId925" Type="http://schemas.openxmlformats.org/officeDocument/2006/relationships/hyperlink" Target="http://www.land.gov.il/TozaotMichrazim/resultsDetailed.aspx?id=82816&amp;rc=915&amp;tr=1693" TargetMode="External"/><Relationship Id="rId1250" Type="http://schemas.openxmlformats.org/officeDocument/2006/relationships/hyperlink" Target="http://www.land.gov.il/TozaotMichrazim/resultsDetailed.aspx?id=79323&amp;rc=1303&amp;tr=1693" TargetMode="External"/><Relationship Id="rId1348" Type="http://schemas.openxmlformats.org/officeDocument/2006/relationships/hyperlink" Target="http://www.land.gov.il/TozaotMichrazim/resultsDetailed.aspx?id=76249&amp;rc=1401&amp;tr=1693" TargetMode="External"/><Relationship Id="rId1555" Type="http://schemas.openxmlformats.org/officeDocument/2006/relationships/hyperlink" Target="http://www.land.gov.il/TozaotMichrazim/resultsDetailed.aspx?id=86451&amp;rc=42&amp;tr=674" TargetMode="External"/><Relationship Id="rId1762" Type="http://schemas.openxmlformats.org/officeDocument/2006/relationships/hyperlink" Target="http://www.land.gov.il/TozaotMichrazim/resultsDetailed.aspx?id=81342&amp;rc=275&amp;tr=674" TargetMode="External"/><Relationship Id="rId2301" Type="http://schemas.openxmlformats.org/officeDocument/2006/relationships/hyperlink" Target="http://www.land.gov.il/TozaotMichrazim/resultsDetailed.aspx?id=87670&amp;rc=248&amp;tr=424" TargetMode="External"/><Relationship Id="rId2606" Type="http://schemas.openxmlformats.org/officeDocument/2006/relationships/control" Target="../activeX/activeX67.xml"/><Relationship Id="rId1110" Type="http://schemas.openxmlformats.org/officeDocument/2006/relationships/hyperlink" Target="http://www.land.gov.il/TozaotMichrazim/resultsDetailed.aspx?id=83040&amp;rc=1139&amp;tr=1693" TargetMode="External"/><Relationship Id="rId1208" Type="http://schemas.openxmlformats.org/officeDocument/2006/relationships/hyperlink" Target="http://www.land.gov.il/TozaotMichrazim/resultsDetailed.aspx?id=83149&amp;rc=1248&amp;tr=1693" TargetMode="External"/><Relationship Id="rId1415" Type="http://schemas.openxmlformats.org/officeDocument/2006/relationships/hyperlink" Target="http://www.land.gov.il/TozaotMichrazim/resultsDetailed.aspx?id=87228&amp;rc=2&amp;tr=421" TargetMode="External"/><Relationship Id="rId54" Type="http://schemas.openxmlformats.org/officeDocument/2006/relationships/hyperlink" Target="http://www.land.gov.il/TozaotMichrazim/resultsDetailed.aspx?id=84637&amp;rc=48&amp;tr=685" TargetMode="External"/><Relationship Id="rId1622" Type="http://schemas.openxmlformats.org/officeDocument/2006/relationships/hyperlink" Target="http://www.land.gov.il/TozaotMichrazim/resultsDetailed.aspx?id=86518&amp;rc=109&amp;tr=674" TargetMode="External"/><Relationship Id="rId1927" Type="http://schemas.openxmlformats.org/officeDocument/2006/relationships/hyperlink" Target="http://www.land.gov.il/TozaotMichrazim/resultsDetailed.aspx?id=76954&amp;rc=456&amp;tr=674" TargetMode="External"/><Relationship Id="rId2091" Type="http://schemas.openxmlformats.org/officeDocument/2006/relationships/hyperlink" Target="http://www.land.gov.il/TozaotMichrazim/resultsDetailed.aspx?id=84823&amp;rc=7&amp;tr=100" TargetMode="External"/><Relationship Id="rId2189" Type="http://schemas.openxmlformats.org/officeDocument/2006/relationships/hyperlink" Target="http://www.land.gov.il/PirsumMichrazim/Aspx/pirsumDetails.aspx?id=2742016%E1%F9&amp;rc=7&amp;tr=196" TargetMode="External"/><Relationship Id="rId270" Type="http://schemas.openxmlformats.org/officeDocument/2006/relationships/hyperlink" Target="http://www.land.gov.il/TozaotMichrazim/resultsDetailed.aspx?id=84996&amp;rc=141&amp;tr=1693" TargetMode="External"/><Relationship Id="rId2396" Type="http://schemas.openxmlformats.org/officeDocument/2006/relationships/hyperlink" Target="http://www.land.gov.il/TozaotMichrazim/resultsDetailed.aspx?id=87301&amp;rc=347&amp;tr=424" TargetMode="External"/><Relationship Id="rId130" Type="http://schemas.openxmlformats.org/officeDocument/2006/relationships/hyperlink" Target="http://www.land.gov.il/TozaotMichrazim/resultsDetailed.aspx?id=79108&amp;rc=126&amp;tr=685" TargetMode="External"/><Relationship Id="rId368" Type="http://schemas.openxmlformats.org/officeDocument/2006/relationships/hyperlink" Target="http://www.land.gov.il/TozaotMichrazim/resultsDetailed.aspx?id=85094&amp;rc=239&amp;tr=1693" TargetMode="External"/><Relationship Id="rId575" Type="http://schemas.openxmlformats.org/officeDocument/2006/relationships/hyperlink" Target="http://www.land.gov.il/TozaotMichrazim/resultsDetailed.aspx?id=85333&amp;rc=478&amp;tr=1693" TargetMode="External"/><Relationship Id="rId782" Type="http://schemas.openxmlformats.org/officeDocument/2006/relationships/hyperlink" Target="http://www.land.gov.il/TozaotMichrazim/resultsDetailed.aspx?id=82645&amp;rc=744&amp;tr=1693" TargetMode="External"/><Relationship Id="rId2049" Type="http://schemas.openxmlformats.org/officeDocument/2006/relationships/hyperlink" Target="http://www.land.gov.il/TozaotMichrazim/resultsDetailed.aspx?id=86641&amp;rc=12&amp;tr=155" TargetMode="External"/><Relationship Id="rId2256" Type="http://schemas.openxmlformats.org/officeDocument/2006/relationships/hyperlink" Target="http://www.land.gov.il/TozaotMichrazim/resultsDetailed.aspx?id=87761&amp;rc=201&amp;tr=424" TargetMode="External"/><Relationship Id="rId2463" Type="http://schemas.openxmlformats.org/officeDocument/2006/relationships/hyperlink" Target="http://www.land.gov.il/TozaotMichrazim/resultsDetailed.aspx?id=85587&amp;rc=15&amp;tr=87" TargetMode="External"/><Relationship Id="rId2670" Type="http://schemas.openxmlformats.org/officeDocument/2006/relationships/control" Target="../activeX/activeX131.xml"/><Relationship Id="rId228" Type="http://schemas.openxmlformats.org/officeDocument/2006/relationships/hyperlink" Target="http://www.land.gov.il/TozaotMichrazim/resultsDetailed.aspx?id=84949&amp;rc=94&amp;tr=1693" TargetMode="External"/><Relationship Id="rId435" Type="http://schemas.openxmlformats.org/officeDocument/2006/relationships/hyperlink" Target="http://www.land.gov.il/TozaotMichrazim/resultsDetailed.aspx?id=85171&amp;rc=316&amp;tr=1693" TargetMode="External"/><Relationship Id="rId642" Type="http://schemas.openxmlformats.org/officeDocument/2006/relationships/hyperlink" Target="http://www.land.gov.il/TozaotMichrazim/resultsDetailed.aspx?id=85421&amp;rc=566&amp;tr=1693" TargetMode="External"/><Relationship Id="rId1065" Type="http://schemas.openxmlformats.org/officeDocument/2006/relationships/hyperlink" Target="http://www.land.gov.il/TozaotMichrazim/resultsDetailed.aspx?id=82986&amp;rc=1085&amp;tr=1693" TargetMode="External"/><Relationship Id="rId1272" Type="http://schemas.openxmlformats.org/officeDocument/2006/relationships/hyperlink" Target="http://www.land.gov.il/TozaotMichrazim/resultsDetailed.aspx?id=79345&amp;rc=1325&amp;tr=1693" TargetMode="External"/><Relationship Id="rId2116" Type="http://schemas.openxmlformats.org/officeDocument/2006/relationships/hyperlink" Target="http://www.land.gov.il/PirsumMichrazim/Aspx/pirsumDetails.aspx?id=1402016%EE%F8&amp;rc=2&amp;tr=6" TargetMode="External"/><Relationship Id="rId2323" Type="http://schemas.openxmlformats.org/officeDocument/2006/relationships/hyperlink" Target="http://www.land.gov.il/TozaotMichrazim/resultsDetailed.aspx?id=87692&amp;rc=270&amp;tr=424" TargetMode="External"/><Relationship Id="rId2530" Type="http://schemas.openxmlformats.org/officeDocument/2006/relationships/hyperlink" Target="http://www.land.gov.il/TozaotMichrazim/resultsDetailed.aspx?id=57292&amp;rc=82&amp;tr=87" TargetMode="External"/><Relationship Id="rId2768" Type="http://schemas.openxmlformats.org/officeDocument/2006/relationships/control" Target="../activeX/activeX229.xml"/><Relationship Id="rId502" Type="http://schemas.openxmlformats.org/officeDocument/2006/relationships/hyperlink" Target="http://www.land.gov.il/TozaotMichrazim/resultsDetailed.aspx?id=85247&amp;rc=392&amp;tr=1693" TargetMode="External"/><Relationship Id="rId947" Type="http://schemas.openxmlformats.org/officeDocument/2006/relationships/hyperlink" Target="http://www.land.gov.il/TozaotMichrazim/resultsDetailed.aspx?id=82841&amp;rc=940&amp;tr=1693" TargetMode="External"/><Relationship Id="rId1132" Type="http://schemas.openxmlformats.org/officeDocument/2006/relationships/hyperlink" Target="http://www.land.gov.il/TozaotMichrazim/resultsDetailed.aspx?id=83063&amp;rc=1162&amp;tr=1693" TargetMode="External"/><Relationship Id="rId1577" Type="http://schemas.openxmlformats.org/officeDocument/2006/relationships/hyperlink" Target="http://www.land.gov.il/TozaotMichrazim/resultsDetailed.aspx?id=86473&amp;rc=64&amp;tr=674" TargetMode="External"/><Relationship Id="rId1784" Type="http://schemas.openxmlformats.org/officeDocument/2006/relationships/hyperlink" Target="http://www.land.gov.il/TozaotMichrazim/resultsDetailed.aspx?id=81366&amp;rc=299&amp;tr=674" TargetMode="External"/><Relationship Id="rId1991" Type="http://schemas.openxmlformats.org/officeDocument/2006/relationships/hyperlink" Target="http://www.land.gov.il/TozaotMichrazim/resultsDetailed.aspx?id=86732&amp;rc=12&amp;tr=440" TargetMode="External"/><Relationship Id="rId2628" Type="http://schemas.openxmlformats.org/officeDocument/2006/relationships/control" Target="../activeX/activeX89.xml"/><Relationship Id="rId76" Type="http://schemas.openxmlformats.org/officeDocument/2006/relationships/hyperlink" Target="http://www.land.gov.il/TozaotMichrazim/resultsDetailed.aspx?id=84659&amp;rc=70&amp;tr=685" TargetMode="External"/><Relationship Id="rId807" Type="http://schemas.openxmlformats.org/officeDocument/2006/relationships/hyperlink" Target="http://www.land.gov.il/TozaotMichrazim/resultsDetailed.aspx?id=82681&amp;rc=780&amp;tr=1693" TargetMode="External"/><Relationship Id="rId1437" Type="http://schemas.openxmlformats.org/officeDocument/2006/relationships/hyperlink" Target="http://www.land.gov.il/TozaotMichrazim/resultsDetailed.aspx?id=87250&amp;rc=24&amp;tr=421" TargetMode="External"/><Relationship Id="rId1644" Type="http://schemas.openxmlformats.org/officeDocument/2006/relationships/hyperlink" Target="http://www.land.gov.il/TozaotMichrazim/resultsDetailed.aspx?id=86540&amp;rc=131&amp;tr=674" TargetMode="External"/><Relationship Id="rId1851" Type="http://schemas.openxmlformats.org/officeDocument/2006/relationships/hyperlink" Target="http://www.land.gov.il/TozaotMichrazim/resultsDetailed.aspx?id=79931&amp;rc=367&amp;tr=674" TargetMode="External"/><Relationship Id="rId1504" Type="http://schemas.openxmlformats.org/officeDocument/2006/relationships/hyperlink" Target="http://www.land.gov.il/TozaotMichrazim/resultsDetailed.aspx?id=80138&amp;rc=100&amp;tr=421" TargetMode="External"/><Relationship Id="rId1711" Type="http://schemas.openxmlformats.org/officeDocument/2006/relationships/hyperlink" Target="http://www.land.gov.il/TozaotMichrazim/resultsDetailed.aspx?id=81290&amp;rc=223&amp;tr=674" TargetMode="External"/><Relationship Id="rId1949" Type="http://schemas.openxmlformats.org/officeDocument/2006/relationships/hyperlink" Target="http://www.land.gov.il/TozaotMichrazim/resultsDetailed.aspx?id=76983&amp;rc=485&amp;tr=674" TargetMode="External"/><Relationship Id="rId292" Type="http://schemas.openxmlformats.org/officeDocument/2006/relationships/hyperlink" Target="http://www.land.gov.il/TozaotMichrazim/resultsDetailed.aspx?id=85018&amp;rc=163&amp;tr=1693" TargetMode="External"/><Relationship Id="rId1809" Type="http://schemas.openxmlformats.org/officeDocument/2006/relationships/hyperlink" Target="http://www.land.gov.il/TozaotMichrazim/resultsDetailed.aspx?id=81392&amp;rc=325&amp;tr=674" TargetMode="External"/><Relationship Id="rId597" Type="http://schemas.openxmlformats.org/officeDocument/2006/relationships/hyperlink" Target="http://www.land.gov.il/TozaotMichrazim/resultsDetailed.aspx?id=85366&amp;rc=511&amp;tr=1693" TargetMode="External"/><Relationship Id="rId2180" Type="http://schemas.openxmlformats.org/officeDocument/2006/relationships/hyperlink" Target="http://www.land.gov.il/PirsumMichrazim/Aspx/pirsumDetails.aspx?id=2432016%EE%F8&amp;rc=4&amp;tr=6" TargetMode="External"/><Relationship Id="rId2278" Type="http://schemas.openxmlformats.org/officeDocument/2006/relationships/hyperlink" Target="http://www.land.gov.il/TozaotMichrazim/resultsDetailed.aspx?id=87647&amp;rc=225&amp;tr=424" TargetMode="External"/><Relationship Id="rId2485" Type="http://schemas.openxmlformats.org/officeDocument/2006/relationships/hyperlink" Target="http://www.land.gov.il/TozaotMichrazim/resultsDetailed.aspx?id=81168&amp;rc=37&amp;tr=87" TargetMode="External"/><Relationship Id="rId152" Type="http://schemas.openxmlformats.org/officeDocument/2006/relationships/hyperlink" Target="http://www.land.gov.il/TozaotMichrazim/resultsDetailed.aspx?id=76567&amp;rc=154&amp;tr=685" TargetMode="External"/><Relationship Id="rId457" Type="http://schemas.openxmlformats.org/officeDocument/2006/relationships/hyperlink" Target="http://www.land.gov.il/TozaotMichrazim/resultsDetailed.aspx?id=85193&amp;rc=338&amp;tr=1693" TargetMode="External"/><Relationship Id="rId1087" Type="http://schemas.openxmlformats.org/officeDocument/2006/relationships/hyperlink" Target="http://www.land.gov.il/TozaotMichrazim/resultsDetailed.aspx?id=83015&amp;rc=1114&amp;tr=1693" TargetMode="External"/><Relationship Id="rId1294" Type="http://schemas.openxmlformats.org/officeDocument/2006/relationships/hyperlink" Target="http://www.land.gov.il/TozaotMichrazim/resultsDetailed.aspx?id=79039&amp;rc=1347&amp;tr=1693" TargetMode="External"/><Relationship Id="rId2040" Type="http://schemas.openxmlformats.org/officeDocument/2006/relationships/hyperlink" Target="http://www.land.gov.il/TozaotMichrazim/resultsDetailed.aspx?id=79141&amp;rc=66&amp;tr=440" TargetMode="External"/><Relationship Id="rId2138" Type="http://schemas.openxmlformats.org/officeDocument/2006/relationships/hyperlink" Target="http://www.land.gov.il/shivukweb/pages/Prj_zrifin.html" TargetMode="External"/><Relationship Id="rId2692" Type="http://schemas.openxmlformats.org/officeDocument/2006/relationships/control" Target="../activeX/activeX153.xml"/><Relationship Id="rId664" Type="http://schemas.openxmlformats.org/officeDocument/2006/relationships/hyperlink" Target="http://www.land.gov.il/TozaotMichrazim/resultsDetailed.aspx?id=85448&amp;rc=593&amp;tr=1693" TargetMode="External"/><Relationship Id="rId871" Type="http://schemas.openxmlformats.org/officeDocument/2006/relationships/hyperlink" Target="http://www.land.gov.il/TozaotMichrazim/resultsDetailed.aspx?id=82759&amp;rc=858&amp;tr=1693" TargetMode="External"/><Relationship Id="rId969" Type="http://schemas.openxmlformats.org/officeDocument/2006/relationships/hyperlink" Target="http://www.land.gov.il/TozaotMichrazim/resultsDetailed.aspx?id=82865&amp;rc=964&amp;tr=1693" TargetMode="External"/><Relationship Id="rId1599" Type="http://schemas.openxmlformats.org/officeDocument/2006/relationships/hyperlink" Target="http://www.land.gov.il/TozaotMichrazim/resultsDetailed.aspx?id=86495&amp;rc=86&amp;tr=674" TargetMode="External"/><Relationship Id="rId2345" Type="http://schemas.openxmlformats.org/officeDocument/2006/relationships/hyperlink" Target="http://www.land.gov.il/TozaotMichrazim/resultsDetailed.aspx?id=87714&amp;rc=292&amp;tr=424" TargetMode="External"/><Relationship Id="rId2552" Type="http://schemas.openxmlformats.org/officeDocument/2006/relationships/control" Target="../activeX/activeX13.xml"/><Relationship Id="rId317" Type="http://schemas.openxmlformats.org/officeDocument/2006/relationships/hyperlink" Target="http://www.land.gov.il/TozaotMichrazim/resultsDetailed.aspx?id=85043&amp;rc=188&amp;tr=1693" TargetMode="External"/><Relationship Id="rId524" Type="http://schemas.openxmlformats.org/officeDocument/2006/relationships/hyperlink" Target="http://www.land.gov.il/TozaotMichrazim/resultsDetailed.aspx?id=85276&amp;rc=421&amp;tr=1693" TargetMode="External"/><Relationship Id="rId731" Type="http://schemas.openxmlformats.org/officeDocument/2006/relationships/hyperlink" Target="http://www.land.gov.il/TozaotMichrazim/resultsDetailed.aspx?id=85533&amp;rc=678&amp;tr=1693" TargetMode="External"/><Relationship Id="rId1154" Type="http://schemas.openxmlformats.org/officeDocument/2006/relationships/hyperlink" Target="http://www.land.gov.il/TozaotMichrazim/resultsDetailed.aspx?id=83089&amp;rc=1188&amp;tr=1693" TargetMode="External"/><Relationship Id="rId1361" Type="http://schemas.openxmlformats.org/officeDocument/2006/relationships/hyperlink" Target="http://www.land.gov.il/TozaotMichrazim/resultsDetailed.aspx?id=76262&amp;rc=1414&amp;tr=1693" TargetMode="External"/><Relationship Id="rId1459" Type="http://schemas.openxmlformats.org/officeDocument/2006/relationships/hyperlink" Target="http://www.land.gov.il/TozaotMichrazim/resultsDetailed.aspx?id=83300&amp;rc=48&amp;tr=421" TargetMode="External"/><Relationship Id="rId2205" Type="http://schemas.openxmlformats.org/officeDocument/2006/relationships/hyperlink" Target="http://www.land.gov.il/PirsumMichrazim/Aspx/pirsumDetails.aspx?id=2722015%E7%E9&amp;rc=3&amp;tr=49" TargetMode="External"/><Relationship Id="rId2412" Type="http://schemas.openxmlformats.org/officeDocument/2006/relationships/hyperlink" Target="http://www.land.gov.il/TozaotMichrazim/resultsDetailed.aspx?id=87336&amp;rc=380&amp;tr=424" TargetMode="External"/><Relationship Id="rId98" Type="http://schemas.openxmlformats.org/officeDocument/2006/relationships/hyperlink" Target="http://www.land.gov.il/TozaotMichrazim/resultsDetailed.aspx?id=84681&amp;rc=92&amp;tr=685" TargetMode="External"/><Relationship Id="rId829" Type="http://schemas.openxmlformats.org/officeDocument/2006/relationships/hyperlink" Target="http://www.land.gov.il/TozaotMichrazim/resultsDetailed.aspx?id=82713&amp;rc=812&amp;tr=1693" TargetMode="External"/><Relationship Id="rId1014" Type="http://schemas.openxmlformats.org/officeDocument/2006/relationships/hyperlink" Target="http://www.land.gov.il/TozaotMichrazim/resultsDetailed.aspx?id=82924&amp;rc=1023&amp;tr=1693" TargetMode="External"/><Relationship Id="rId1221" Type="http://schemas.openxmlformats.org/officeDocument/2006/relationships/hyperlink" Target="http://www.land.gov.il/TozaotMichrazim/resultsDetailed.aspx?id=83171&amp;rc=1270&amp;tr=1693" TargetMode="External"/><Relationship Id="rId1666" Type="http://schemas.openxmlformats.org/officeDocument/2006/relationships/hyperlink" Target="http://www.land.gov.il/TozaotMichrazim/resultsDetailed.aspx?id=84694&amp;rc=156&amp;tr=674" TargetMode="External"/><Relationship Id="rId1873" Type="http://schemas.openxmlformats.org/officeDocument/2006/relationships/hyperlink" Target="http://www.land.gov.il/TozaotMichrazim/resultsDetailed.aspx?id=79953&amp;rc=389&amp;tr=674" TargetMode="External"/><Relationship Id="rId2717" Type="http://schemas.openxmlformats.org/officeDocument/2006/relationships/control" Target="../activeX/activeX178.xml"/><Relationship Id="rId1319" Type="http://schemas.openxmlformats.org/officeDocument/2006/relationships/hyperlink" Target="http://www.land.gov.il/TozaotMichrazim/resultsDetailed.aspx?id=77164&amp;rc=1372&amp;tr=1693" TargetMode="External"/><Relationship Id="rId1526" Type="http://schemas.openxmlformats.org/officeDocument/2006/relationships/hyperlink" Target="http://www.land.gov.il/TozaotMichrazim/resultsDetailed.aspx?id=86422&amp;rc=13&amp;tr=674" TargetMode="External"/><Relationship Id="rId1733" Type="http://schemas.openxmlformats.org/officeDocument/2006/relationships/hyperlink" Target="http://www.land.gov.il/TozaotMichrazim/resultsDetailed.aspx?id=81313&amp;rc=246&amp;tr=674" TargetMode="External"/><Relationship Id="rId1940" Type="http://schemas.openxmlformats.org/officeDocument/2006/relationships/hyperlink" Target="http://www.land.gov.il/TozaotMichrazim/resultsDetailed.aspx?id=76974&amp;rc=476&amp;tr=674" TargetMode="External"/><Relationship Id="rId25" Type="http://schemas.openxmlformats.org/officeDocument/2006/relationships/hyperlink" Target="http://www.land.gov.il/TozaotMichrazim/resultsDetailed.aspx?id=84608&amp;rc=19&amp;tr=685" TargetMode="External"/><Relationship Id="rId1800" Type="http://schemas.openxmlformats.org/officeDocument/2006/relationships/hyperlink" Target="http://www.land.gov.il/TozaotMichrazim/resultsDetailed.aspx?id=81383&amp;rc=316&amp;tr=674" TargetMode="External"/><Relationship Id="rId174" Type="http://schemas.openxmlformats.org/officeDocument/2006/relationships/hyperlink" Target="http://www.land.gov.il/TozaotMichrazim/resultsDetailed.aspx?id=84894&amp;rc=39&amp;tr=1693" TargetMode="External"/><Relationship Id="rId381" Type="http://schemas.openxmlformats.org/officeDocument/2006/relationships/hyperlink" Target="http://www.land.gov.il/TozaotMichrazim/resultsDetailed.aspx?id=85107&amp;rc=252&amp;tr=1693" TargetMode="External"/><Relationship Id="rId2062" Type="http://schemas.openxmlformats.org/officeDocument/2006/relationships/hyperlink" Target="http://www.land.gov.il/TozaotMichrazim/resultsDetailed.aspx?id=87113&amp;rc=3&amp;tr=115" TargetMode="External"/><Relationship Id="rId241" Type="http://schemas.openxmlformats.org/officeDocument/2006/relationships/hyperlink" Target="http://www.land.gov.il/TozaotMichrazim/resultsDetailed.aspx?id=84963&amp;rc=108&amp;tr=1693" TargetMode="External"/><Relationship Id="rId479" Type="http://schemas.openxmlformats.org/officeDocument/2006/relationships/hyperlink" Target="http://www.land.gov.il/TozaotMichrazim/resultsDetailed.aspx?id=85215&amp;rc=360&amp;tr=1693" TargetMode="External"/><Relationship Id="rId686" Type="http://schemas.openxmlformats.org/officeDocument/2006/relationships/hyperlink" Target="http://www.land.gov.il/TozaotMichrazim/resultsDetailed.aspx?id=85472&amp;rc=617&amp;tr=1693" TargetMode="External"/><Relationship Id="rId893" Type="http://schemas.openxmlformats.org/officeDocument/2006/relationships/hyperlink" Target="http://www.land.gov.il/TozaotMichrazim/resultsDetailed.aspx?id=82782&amp;rc=881&amp;tr=1693" TargetMode="External"/><Relationship Id="rId2367" Type="http://schemas.openxmlformats.org/officeDocument/2006/relationships/hyperlink" Target="http://www.land.gov.il/TozaotMichrazim/resultsDetailed.aspx?id=87736&amp;rc=314&amp;tr=424" TargetMode="External"/><Relationship Id="rId2574" Type="http://schemas.openxmlformats.org/officeDocument/2006/relationships/control" Target="../activeX/activeX35.xml"/><Relationship Id="rId2781" Type="http://schemas.openxmlformats.org/officeDocument/2006/relationships/control" Target="../activeX/activeX242.xml"/><Relationship Id="rId339" Type="http://schemas.openxmlformats.org/officeDocument/2006/relationships/hyperlink" Target="http://www.land.gov.il/TozaotMichrazim/resultsDetailed.aspx?id=85065&amp;rc=210&amp;tr=1693" TargetMode="External"/><Relationship Id="rId546" Type="http://schemas.openxmlformats.org/officeDocument/2006/relationships/hyperlink" Target="http://www.land.gov.il/TozaotMichrazim/resultsDetailed.aspx?id=85301&amp;rc=446&amp;tr=1693" TargetMode="External"/><Relationship Id="rId753" Type="http://schemas.openxmlformats.org/officeDocument/2006/relationships/hyperlink" Target="http://www.land.gov.il/TozaotMichrazim/resultsDetailed.aspx?id=85563&amp;rc=708&amp;tr=1693" TargetMode="External"/><Relationship Id="rId1176" Type="http://schemas.openxmlformats.org/officeDocument/2006/relationships/hyperlink" Target="http://www.land.gov.il/TozaotMichrazim/resultsDetailed.aspx?id=83115&amp;rc=1214&amp;tr=1693" TargetMode="External"/><Relationship Id="rId1383" Type="http://schemas.openxmlformats.org/officeDocument/2006/relationships/hyperlink" Target="http://www.land.gov.il/TozaotMichrazim/resultsDetailed.aspx?id=76284&amp;rc=1436&amp;tr=1693" TargetMode="External"/><Relationship Id="rId2227" Type="http://schemas.openxmlformats.org/officeDocument/2006/relationships/hyperlink" Target="http://www.land.gov.il/TozaotMichrazim/Results.aspx?NewSearch=true&amp;ynmichraz=2014&amp;anMichraz=%e7%e9&amp;Nnmichraz=340" TargetMode="External"/><Relationship Id="rId2434" Type="http://schemas.openxmlformats.org/officeDocument/2006/relationships/hyperlink" Target="http://www.land.gov.il/TozaotMichrazim/resultsDetailed.aspx?id=87317&amp;rc=410&amp;tr=424" TargetMode="External"/><Relationship Id="rId101" Type="http://schemas.openxmlformats.org/officeDocument/2006/relationships/hyperlink" Target="http://www.land.gov.il/TozaotMichrazim/resultsDetailed.aspx?id=84684&amp;rc=95&amp;tr=685" TargetMode="External"/><Relationship Id="rId406" Type="http://schemas.openxmlformats.org/officeDocument/2006/relationships/hyperlink" Target="http://www.land.gov.il/TozaotMichrazim/resultsDetailed.aspx?id=85140&amp;rc=285&amp;tr=1693" TargetMode="External"/><Relationship Id="rId960" Type="http://schemas.openxmlformats.org/officeDocument/2006/relationships/hyperlink" Target="http://www.land.gov.il/TozaotMichrazim/resultsDetailed.aspx?id=82856&amp;rc=955&amp;tr=1693" TargetMode="External"/><Relationship Id="rId1036" Type="http://schemas.openxmlformats.org/officeDocument/2006/relationships/hyperlink" Target="http://www.land.gov.il/TozaotMichrazim/resultsDetailed.aspx?id=82950&amp;rc=1049&amp;tr=1693" TargetMode="External"/><Relationship Id="rId1243" Type="http://schemas.openxmlformats.org/officeDocument/2006/relationships/hyperlink" Target="http://www.land.gov.il/TozaotMichrazim/resultsDetailed.aspx?id=79316&amp;rc=1296&amp;tr=1693" TargetMode="External"/><Relationship Id="rId1590" Type="http://schemas.openxmlformats.org/officeDocument/2006/relationships/hyperlink" Target="http://www.land.gov.il/TozaotMichrazim/resultsDetailed.aspx?id=86486&amp;rc=77&amp;tr=674" TargetMode="External"/><Relationship Id="rId1688" Type="http://schemas.openxmlformats.org/officeDocument/2006/relationships/hyperlink" Target="http://www.land.gov.il/TozaotMichrazim/resultsDetailed.aspx?id=83833&amp;rc=196&amp;tr=674" TargetMode="External"/><Relationship Id="rId1895" Type="http://schemas.openxmlformats.org/officeDocument/2006/relationships/hyperlink" Target="http://www.land.gov.il/TozaotMichrazim/resultsDetailed.aspx?id=79391&amp;rc=411&amp;tr=674" TargetMode="External"/><Relationship Id="rId2641" Type="http://schemas.openxmlformats.org/officeDocument/2006/relationships/control" Target="../activeX/activeX102.xml"/><Relationship Id="rId2739" Type="http://schemas.openxmlformats.org/officeDocument/2006/relationships/control" Target="../activeX/activeX200.xml"/><Relationship Id="rId613" Type="http://schemas.openxmlformats.org/officeDocument/2006/relationships/hyperlink" Target="http://www.land.gov.il/TozaotMichrazim/resultsDetailed.aspx?id=85388&amp;rc=533&amp;tr=1693" TargetMode="External"/><Relationship Id="rId820" Type="http://schemas.openxmlformats.org/officeDocument/2006/relationships/hyperlink" Target="http://www.land.gov.il/TozaotMichrazim/resultsDetailed.aspx?id=82701&amp;rc=800&amp;tr=1693" TargetMode="External"/><Relationship Id="rId918" Type="http://schemas.openxmlformats.org/officeDocument/2006/relationships/hyperlink" Target="http://www.land.gov.il/TozaotMichrazim/resultsDetailed.aspx?id=82808&amp;rc=907&amp;tr=1693" TargetMode="External"/><Relationship Id="rId1450" Type="http://schemas.openxmlformats.org/officeDocument/2006/relationships/hyperlink" Target="http://www.land.gov.il/TozaotMichrazim/resultsDetailed.aspx?id=86271&amp;rc=39&amp;tr=421" TargetMode="External"/><Relationship Id="rId1548" Type="http://schemas.openxmlformats.org/officeDocument/2006/relationships/hyperlink" Target="http://www.land.gov.il/TozaotMichrazim/resultsDetailed.aspx?id=86444&amp;rc=35&amp;tr=674" TargetMode="External"/><Relationship Id="rId1755" Type="http://schemas.openxmlformats.org/officeDocument/2006/relationships/hyperlink" Target="http://www.land.gov.il/TozaotMichrazim/resultsDetailed.aspx?id=81335&amp;rc=268&amp;tr=674" TargetMode="External"/><Relationship Id="rId2501" Type="http://schemas.openxmlformats.org/officeDocument/2006/relationships/hyperlink" Target="http://www.land.gov.il/TozaotMichrazim/resultsDetailed.aspx?id=71528&amp;rc=53&amp;tr=87" TargetMode="External"/><Relationship Id="rId1103" Type="http://schemas.openxmlformats.org/officeDocument/2006/relationships/hyperlink" Target="http://www.land.gov.il/TozaotMichrazim/resultsDetailed.aspx?id=83032&amp;rc=1131&amp;tr=1693" TargetMode="External"/><Relationship Id="rId1310" Type="http://schemas.openxmlformats.org/officeDocument/2006/relationships/hyperlink" Target="http://www.land.gov.il/TozaotMichrazim/resultsDetailed.aspx?id=78028&amp;rc=1363&amp;tr=1693" TargetMode="External"/><Relationship Id="rId1408" Type="http://schemas.openxmlformats.org/officeDocument/2006/relationships/hyperlink" Target="http://www.land.gov.il/TozaotMichrazim/resultsDetailed.aspx?id=86697&amp;rc=1&amp;tr=43" TargetMode="External"/><Relationship Id="rId1962" Type="http://schemas.openxmlformats.org/officeDocument/2006/relationships/hyperlink" Target="http://www.land.gov.il/TozaotMichrazim/resultsDetailed.aspx?id=76996&amp;rc=498&amp;tr=674" TargetMode="External"/><Relationship Id="rId2806" Type="http://schemas.openxmlformats.org/officeDocument/2006/relationships/control" Target="../activeX/activeX267.xml"/><Relationship Id="rId47" Type="http://schemas.openxmlformats.org/officeDocument/2006/relationships/hyperlink" Target="http://www.land.gov.il/TozaotMichrazim/resultsDetailed.aspx?id=84630&amp;rc=41&amp;tr=685" TargetMode="External"/><Relationship Id="rId1615" Type="http://schemas.openxmlformats.org/officeDocument/2006/relationships/hyperlink" Target="http://www.land.gov.il/TozaotMichrazim/resultsDetailed.aspx?id=86511&amp;rc=102&amp;tr=674" TargetMode="External"/><Relationship Id="rId1822" Type="http://schemas.openxmlformats.org/officeDocument/2006/relationships/hyperlink" Target="http://www.land.gov.il/TozaotMichrazim/resultsDetailed.aspx?id=81405&amp;rc=338&amp;tr=674" TargetMode="External"/><Relationship Id="rId196" Type="http://schemas.openxmlformats.org/officeDocument/2006/relationships/hyperlink" Target="http://www.land.gov.il/TozaotMichrazim/resultsDetailed.aspx?id=84917&amp;rc=62&amp;tr=1693" TargetMode="External"/><Relationship Id="rId2084" Type="http://schemas.openxmlformats.org/officeDocument/2006/relationships/hyperlink" Target="http://www.land.gov.il/TozaotMichrazim/resultsDetailed.aspx?id=80750&amp;rc=25&amp;tr=115" TargetMode="External"/><Relationship Id="rId2291" Type="http://schemas.openxmlformats.org/officeDocument/2006/relationships/hyperlink" Target="http://www.land.gov.il/TozaotMichrazim/resultsDetailed.aspx?id=87660&amp;rc=238&amp;tr=424" TargetMode="External"/><Relationship Id="rId263" Type="http://schemas.openxmlformats.org/officeDocument/2006/relationships/hyperlink" Target="http://www.land.gov.il/TozaotMichrazim/resultsDetailed.aspx?id=84989&amp;rc=134&amp;tr=1693" TargetMode="External"/><Relationship Id="rId470" Type="http://schemas.openxmlformats.org/officeDocument/2006/relationships/hyperlink" Target="http://www.land.gov.il/TozaotMichrazim/resultsDetailed.aspx?id=85206&amp;rc=351&amp;tr=1693" TargetMode="External"/><Relationship Id="rId2151" Type="http://schemas.openxmlformats.org/officeDocument/2006/relationships/hyperlink" Target="http://www.land.gov.il/PirsumMichrazim/Aspx/pirsumDetails.aspx?id=3782016%E7%E9&amp;rc=1&amp;tr=3" TargetMode="External"/><Relationship Id="rId2389" Type="http://schemas.openxmlformats.org/officeDocument/2006/relationships/hyperlink" Target="http://www.land.gov.il/TozaotMichrazim/resultsDetailed.aspx?id=87294&amp;rc=340&amp;tr=424" TargetMode="External"/><Relationship Id="rId2596" Type="http://schemas.openxmlformats.org/officeDocument/2006/relationships/control" Target="../activeX/activeX57.xml"/><Relationship Id="rId123" Type="http://schemas.openxmlformats.org/officeDocument/2006/relationships/hyperlink" Target="http://www.land.gov.il/TozaotMichrazim/resultsDetailed.aspx?id=80768&amp;rc=118&amp;tr=685" TargetMode="External"/><Relationship Id="rId330" Type="http://schemas.openxmlformats.org/officeDocument/2006/relationships/hyperlink" Target="http://www.land.gov.il/TozaotMichrazim/resultsDetailed.aspx?id=85056&amp;rc=201&amp;tr=1693" TargetMode="External"/><Relationship Id="rId568" Type="http://schemas.openxmlformats.org/officeDocument/2006/relationships/hyperlink" Target="http://www.land.gov.il/TozaotMichrazim/resultsDetailed.aspx?id=85325&amp;rc=470&amp;tr=1693" TargetMode="External"/><Relationship Id="rId775" Type="http://schemas.openxmlformats.org/officeDocument/2006/relationships/hyperlink" Target="http://www.land.gov.il/TozaotMichrazim/resultsDetailed.aspx?id=82636&amp;rc=735&amp;tr=1693" TargetMode="External"/><Relationship Id="rId982" Type="http://schemas.openxmlformats.org/officeDocument/2006/relationships/hyperlink" Target="http://www.land.gov.il/TozaotMichrazim/resultsDetailed.aspx?id=82886&amp;rc=985&amp;tr=1693" TargetMode="External"/><Relationship Id="rId1198" Type="http://schemas.openxmlformats.org/officeDocument/2006/relationships/hyperlink" Target="http://www.land.gov.il/TozaotMichrazim/resultsDetailed.aspx?id=83138&amp;rc=1237&amp;tr=1693" TargetMode="External"/><Relationship Id="rId2011" Type="http://schemas.openxmlformats.org/officeDocument/2006/relationships/hyperlink" Target="http://www.land.gov.il/TozaotMichrazim/resultsDetailed.aspx?id=81173&amp;rc=37&amp;tr=440" TargetMode="External"/><Relationship Id="rId2249" Type="http://schemas.openxmlformats.org/officeDocument/2006/relationships/hyperlink" Target="http://www.land.gov.il/TozaotMichrazim/resultsDetailed.aspx?id=87853&amp;rc=33&amp;tr=424" TargetMode="External"/><Relationship Id="rId2456" Type="http://schemas.openxmlformats.org/officeDocument/2006/relationships/hyperlink" Target="http://www.land.gov.il/TozaotMichrazim/resultsDetailed.aspx?id=85580&amp;rc=8&amp;tr=87" TargetMode="External"/><Relationship Id="rId2663" Type="http://schemas.openxmlformats.org/officeDocument/2006/relationships/control" Target="../activeX/activeX124.xml"/><Relationship Id="rId428" Type="http://schemas.openxmlformats.org/officeDocument/2006/relationships/hyperlink" Target="http://www.land.gov.il/TozaotMichrazim/resultsDetailed.aspx?id=85164&amp;rc=309&amp;tr=1693" TargetMode="External"/><Relationship Id="rId635" Type="http://schemas.openxmlformats.org/officeDocument/2006/relationships/hyperlink" Target="http://www.land.gov.il/TozaotMichrazim/resultsDetailed.aspx?id=85414&amp;rc=559&amp;tr=1693" TargetMode="External"/><Relationship Id="rId842" Type="http://schemas.openxmlformats.org/officeDocument/2006/relationships/hyperlink" Target="http://www.land.gov.il/TozaotMichrazim/resultsDetailed.aspx?id=82729&amp;rc=828&amp;tr=1693" TargetMode="External"/><Relationship Id="rId1058" Type="http://schemas.openxmlformats.org/officeDocument/2006/relationships/hyperlink" Target="http://www.land.gov.il/TozaotMichrazim/resultsDetailed.aspx?id=82978&amp;rc=1077&amp;tr=1693" TargetMode="External"/><Relationship Id="rId1265" Type="http://schemas.openxmlformats.org/officeDocument/2006/relationships/hyperlink" Target="http://www.land.gov.il/TozaotMichrazim/resultsDetailed.aspx?id=79338&amp;rc=1318&amp;tr=1693" TargetMode="External"/><Relationship Id="rId1472" Type="http://schemas.openxmlformats.org/officeDocument/2006/relationships/hyperlink" Target="http://www.land.gov.il/TozaotMichrazim/resultsDetailed.aspx?id=81692&amp;rc=61&amp;tr=421" TargetMode="External"/><Relationship Id="rId2109" Type="http://schemas.openxmlformats.org/officeDocument/2006/relationships/hyperlink" Target="http://www.land.gov.il/IturTabot2/taba2.aspx?tbMerchav=217&amp;tUniqueID=0&amp;sSug=~&amp;tblView=tblView_9f78d0bf5b4f&amp;tbMsTochnit=%25u05d2/17000" TargetMode="External"/><Relationship Id="rId2316" Type="http://schemas.openxmlformats.org/officeDocument/2006/relationships/hyperlink" Target="http://www.land.gov.il/TozaotMichrazim/resultsDetailed.aspx?id=87685&amp;rc=263&amp;tr=424" TargetMode="External"/><Relationship Id="rId2523" Type="http://schemas.openxmlformats.org/officeDocument/2006/relationships/hyperlink" Target="http://www.land.gov.il/TozaotMichrazim/resultsDetailed.aspx?id=64677&amp;rc=75&amp;tr=87" TargetMode="External"/><Relationship Id="rId2730" Type="http://schemas.openxmlformats.org/officeDocument/2006/relationships/control" Target="../activeX/activeX191.xml"/><Relationship Id="rId702" Type="http://schemas.openxmlformats.org/officeDocument/2006/relationships/hyperlink" Target="http://www.land.gov.il/TozaotMichrazim/resultsDetailed.aspx?id=85491&amp;rc=636&amp;tr=1693" TargetMode="External"/><Relationship Id="rId1125" Type="http://schemas.openxmlformats.org/officeDocument/2006/relationships/hyperlink" Target="http://www.land.gov.il/TozaotMichrazim/resultsDetailed.aspx?id=83056&amp;rc=1155&amp;tr=1693" TargetMode="External"/><Relationship Id="rId1332" Type="http://schemas.openxmlformats.org/officeDocument/2006/relationships/hyperlink" Target="http://www.land.gov.il/TozaotMichrazim/resultsDetailed.aspx?id=76233&amp;rc=1385&amp;tr=1693" TargetMode="External"/><Relationship Id="rId1777" Type="http://schemas.openxmlformats.org/officeDocument/2006/relationships/hyperlink" Target="http://www.land.gov.il/TozaotMichrazim/resultsDetailed.aspx?id=81358&amp;rc=291&amp;tr=674" TargetMode="External"/><Relationship Id="rId1984" Type="http://schemas.openxmlformats.org/officeDocument/2006/relationships/hyperlink" Target="http://www.land.gov.il/TozaotMichrazim/resultsDetailed.aspx?id=86725&amp;rc=5&amp;tr=440" TargetMode="External"/><Relationship Id="rId69" Type="http://schemas.openxmlformats.org/officeDocument/2006/relationships/hyperlink" Target="http://www.land.gov.il/TozaotMichrazim/resultsDetailed.aspx?id=84652&amp;rc=63&amp;tr=685" TargetMode="External"/><Relationship Id="rId1637" Type="http://schemas.openxmlformats.org/officeDocument/2006/relationships/hyperlink" Target="http://www.land.gov.il/TozaotMichrazim/resultsDetailed.aspx?id=86533&amp;rc=124&amp;tr=674" TargetMode="External"/><Relationship Id="rId1844" Type="http://schemas.openxmlformats.org/officeDocument/2006/relationships/hyperlink" Target="http://www.land.gov.il/TozaotMichrazim/resultsDetailed.aspx?id=79924&amp;rc=360&amp;tr=674" TargetMode="External"/><Relationship Id="rId1704" Type="http://schemas.openxmlformats.org/officeDocument/2006/relationships/hyperlink" Target="http://www.land.gov.il/TozaotMichrazim/resultsDetailed.aspx?id=81280&amp;rc=213&amp;tr=674" TargetMode="External"/><Relationship Id="rId285" Type="http://schemas.openxmlformats.org/officeDocument/2006/relationships/hyperlink" Target="http://www.land.gov.il/TozaotMichrazim/resultsDetailed.aspx?id=85011&amp;rc=156&amp;tr=1693" TargetMode="External"/><Relationship Id="rId1911" Type="http://schemas.openxmlformats.org/officeDocument/2006/relationships/hyperlink" Target="http://www.land.gov.il/TozaotMichrazim/resultsDetailed.aspx?id=79153&amp;rc=427&amp;tr=674" TargetMode="External"/><Relationship Id="rId492" Type="http://schemas.openxmlformats.org/officeDocument/2006/relationships/hyperlink" Target="http://www.land.gov.il/TozaotMichrazim/resultsDetailed.aspx?id=85230&amp;rc=375&amp;tr=1693" TargetMode="External"/><Relationship Id="rId797" Type="http://schemas.openxmlformats.org/officeDocument/2006/relationships/hyperlink" Target="http://www.land.gov.il/TozaotMichrazim/resultsDetailed.aspx?id=82664&amp;rc=763&amp;tr=1693" TargetMode="External"/><Relationship Id="rId2173" Type="http://schemas.openxmlformats.org/officeDocument/2006/relationships/hyperlink" Target="http://www.land.gov.il/PirsumMichrazim/Aspx/pirsumDetails.aspx?id=3802016%E7%E9&amp;rc=3&amp;tr=3" TargetMode="External"/><Relationship Id="rId2380" Type="http://schemas.openxmlformats.org/officeDocument/2006/relationships/hyperlink" Target="http://www.land.gov.il/TozaotMichrazim/resultsDetailed.aspx?id=87749&amp;rc=327&amp;tr=424" TargetMode="External"/><Relationship Id="rId2478" Type="http://schemas.openxmlformats.org/officeDocument/2006/relationships/hyperlink" Target="http://www.land.gov.il/TozaotMichrazim/resultsDetailed.aspx?id=81161&amp;rc=30&amp;tr=87" TargetMode="External"/><Relationship Id="rId145" Type="http://schemas.openxmlformats.org/officeDocument/2006/relationships/hyperlink" Target="http://www.land.gov.il/TozaotMichrazim/resultsDetailed.aspx?id=76560&amp;rc=147&amp;tr=685" TargetMode="External"/><Relationship Id="rId352" Type="http://schemas.openxmlformats.org/officeDocument/2006/relationships/hyperlink" Target="http://www.land.gov.il/TozaotMichrazim/resultsDetailed.aspx?id=85078&amp;rc=223&amp;tr=1693" TargetMode="External"/><Relationship Id="rId1287" Type="http://schemas.openxmlformats.org/officeDocument/2006/relationships/hyperlink" Target="http://www.land.gov.il/TozaotMichrazim/resultsDetailed.aspx?id=79360&amp;rc=1340&amp;tr=1693" TargetMode="External"/><Relationship Id="rId2033" Type="http://schemas.openxmlformats.org/officeDocument/2006/relationships/hyperlink" Target="http://www.land.gov.il/TozaotMichrazim/resultsDetailed.aspx?id=79134&amp;rc=59&amp;tr=440" TargetMode="External"/><Relationship Id="rId2240" Type="http://schemas.openxmlformats.org/officeDocument/2006/relationships/hyperlink" Target="http://www.land.gov.il/TozaotMichrazim/resultsDetailed.aspx?id=87844&amp;rc=24&amp;tr=424" TargetMode="External"/><Relationship Id="rId2685" Type="http://schemas.openxmlformats.org/officeDocument/2006/relationships/control" Target="../activeX/activeX146.xml"/><Relationship Id="rId212" Type="http://schemas.openxmlformats.org/officeDocument/2006/relationships/hyperlink" Target="http://www.land.gov.il/TozaotMichrazim/resultsDetailed.aspx?id=84933&amp;rc=78&amp;tr=1693" TargetMode="External"/><Relationship Id="rId657" Type="http://schemas.openxmlformats.org/officeDocument/2006/relationships/hyperlink" Target="http://www.land.gov.il/TozaotMichrazim/resultsDetailed.aspx?id=85440&amp;rc=585&amp;tr=1693" TargetMode="External"/><Relationship Id="rId864" Type="http://schemas.openxmlformats.org/officeDocument/2006/relationships/hyperlink" Target="http://www.land.gov.il/TozaotMichrazim/resultsDetailed.aspx?id=82752&amp;rc=851&amp;tr=1693" TargetMode="External"/><Relationship Id="rId1494" Type="http://schemas.openxmlformats.org/officeDocument/2006/relationships/hyperlink" Target="http://www.land.gov.il/TozaotMichrazim/resultsDetailed.aspx?id=80128&amp;rc=90&amp;tr=421" TargetMode="External"/><Relationship Id="rId1799" Type="http://schemas.openxmlformats.org/officeDocument/2006/relationships/hyperlink" Target="http://www.land.gov.il/TozaotMichrazim/resultsDetailed.aspx?id=81382&amp;rc=315&amp;tr=674" TargetMode="External"/><Relationship Id="rId2100" Type="http://schemas.openxmlformats.org/officeDocument/2006/relationships/hyperlink" Target="http://www.land.gov.il/TozaotMichrazim/resultsDetailed.aspx?id=79156&amp;rc=16&amp;tr=100" TargetMode="External"/><Relationship Id="rId2338" Type="http://schemas.openxmlformats.org/officeDocument/2006/relationships/hyperlink" Target="http://www.land.gov.il/TozaotMichrazim/resultsDetailed.aspx?id=87707&amp;rc=285&amp;tr=424" TargetMode="External"/><Relationship Id="rId2545" Type="http://schemas.openxmlformats.org/officeDocument/2006/relationships/control" Target="../activeX/activeX6.xml"/><Relationship Id="rId2752" Type="http://schemas.openxmlformats.org/officeDocument/2006/relationships/control" Target="../activeX/activeX213.xml"/><Relationship Id="rId517" Type="http://schemas.openxmlformats.org/officeDocument/2006/relationships/hyperlink" Target="http://www.land.gov.il/TozaotMichrazim/resultsDetailed.aspx?id=85266&amp;rc=411&amp;tr=1693" TargetMode="External"/><Relationship Id="rId724" Type="http://schemas.openxmlformats.org/officeDocument/2006/relationships/hyperlink" Target="http://www.land.gov.il/TozaotMichrazim/resultsDetailed.aspx?id=85516&amp;rc=661&amp;tr=1693" TargetMode="External"/><Relationship Id="rId931" Type="http://schemas.openxmlformats.org/officeDocument/2006/relationships/hyperlink" Target="http://www.land.gov.il/TozaotMichrazim/resultsDetailed.aspx?id=82822&amp;rc=921&amp;tr=1693" TargetMode="External"/><Relationship Id="rId1147" Type="http://schemas.openxmlformats.org/officeDocument/2006/relationships/hyperlink" Target="http://www.land.gov.il/TozaotMichrazim/resultsDetailed.aspx?id=83080&amp;rc=1179&amp;tr=1693" TargetMode="External"/><Relationship Id="rId1354" Type="http://schemas.openxmlformats.org/officeDocument/2006/relationships/hyperlink" Target="http://www.land.gov.il/TozaotMichrazim/resultsDetailed.aspx?id=76255&amp;rc=1407&amp;tr=1693" TargetMode="External"/><Relationship Id="rId1561" Type="http://schemas.openxmlformats.org/officeDocument/2006/relationships/hyperlink" Target="http://www.land.gov.il/TozaotMichrazim/resultsDetailed.aspx?id=86457&amp;rc=48&amp;tr=674" TargetMode="External"/><Relationship Id="rId2405" Type="http://schemas.openxmlformats.org/officeDocument/2006/relationships/hyperlink" Target="http://www.land.gov.il/TozaotMichrazim/resultsDetailed.aspx?id=87310&amp;rc=356&amp;tr=424" TargetMode="External"/><Relationship Id="rId2612" Type="http://schemas.openxmlformats.org/officeDocument/2006/relationships/control" Target="../activeX/activeX73.xml"/><Relationship Id="rId60" Type="http://schemas.openxmlformats.org/officeDocument/2006/relationships/hyperlink" Target="http://www.land.gov.il/TozaotMichrazim/resultsDetailed.aspx?id=84643&amp;rc=54&amp;tr=685" TargetMode="External"/><Relationship Id="rId1007" Type="http://schemas.openxmlformats.org/officeDocument/2006/relationships/hyperlink" Target="http://www.land.gov.il/TozaotMichrazim/resultsDetailed.aspx?id=82917&amp;rc=1016&amp;tr=1693" TargetMode="External"/><Relationship Id="rId1214" Type="http://schemas.openxmlformats.org/officeDocument/2006/relationships/hyperlink" Target="http://www.land.gov.il/TozaotMichrazim/resultsDetailed.aspx?id=83156&amp;rc=1255&amp;tr=1693" TargetMode="External"/><Relationship Id="rId1421" Type="http://schemas.openxmlformats.org/officeDocument/2006/relationships/hyperlink" Target="http://www.land.gov.il/TozaotMichrazim/resultsDetailed.aspx?id=87234&amp;rc=8&amp;tr=421" TargetMode="External"/><Relationship Id="rId1659" Type="http://schemas.openxmlformats.org/officeDocument/2006/relationships/hyperlink" Target="http://www.land.gov.il/TozaotMichrazim/resultsDetailed.aspx?id=86391&amp;rc=146&amp;tr=674" TargetMode="External"/><Relationship Id="rId1866" Type="http://schemas.openxmlformats.org/officeDocument/2006/relationships/hyperlink" Target="http://www.land.gov.il/TozaotMichrazim/resultsDetailed.aspx?id=79946&amp;rc=382&amp;tr=674" TargetMode="External"/><Relationship Id="rId1519" Type="http://schemas.openxmlformats.org/officeDocument/2006/relationships/hyperlink" Target="http://www.land.gov.il/TozaotMichrazim/resultsDetailed.aspx?id=86415&amp;rc=6&amp;tr=674" TargetMode="External"/><Relationship Id="rId1726" Type="http://schemas.openxmlformats.org/officeDocument/2006/relationships/hyperlink" Target="http://www.land.gov.il/TozaotMichrazim/resultsDetailed.aspx?id=81305&amp;rc=238&amp;tr=674" TargetMode="External"/><Relationship Id="rId1933" Type="http://schemas.openxmlformats.org/officeDocument/2006/relationships/hyperlink" Target="http://www.land.gov.il/TozaotMichrazim/resultsDetailed.aspx?id=76964&amp;rc=466&amp;tr=674" TargetMode="External"/><Relationship Id="rId18" Type="http://schemas.openxmlformats.org/officeDocument/2006/relationships/hyperlink" Target="http://www.land.gov.il/TozaotMichrazim/resultsDetailed.aspx?id=84740&amp;rc=12&amp;tr=685" TargetMode="External"/><Relationship Id="rId2195" Type="http://schemas.openxmlformats.org/officeDocument/2006/relationships/hyperlink" Target="http://www.land.gov.il/PirsumMichrazim/Aspx/pirsumDetails.aspx?id=1412014%E1%F9&amp;rc=22&amp;tr=196" TargetMode="External"/><Relationship Id="rId167" Type="http://schemas.openxmlformats.org/officeDocument/2006/relationships/hyperlink" Target="http://www.land.gov.il/TozaotMichrazim/resultsDetailed.aspx?id=84887&amp;rc=32&amp;tr=1693" TargetMode="External"/><Relationship Id="rId374" Type="http://schemas.openxmlformats.org/officeDocument/2006/relationships/hyperlink" Target="http://www.land.gov.il/TozaotMichrazim/resultsDetailed.aspx?id=85100&amp;rc=245&amp;tr=1693" TargetMode="External"/><Relationship Id="rId581" Type="http://schemas.openxmlformats.org/officeDocument/2006/relationships/hyperlink" Target="http://www.land.gov.il/TozaotMichrazim/resultsDetailed.aspx?id=85340&amp;rc=485&amp;tr=1693" TargetMode="External"/><Relationship Id="rId2055" Type="http://schemas.openxmlformats.org/officeDocument/2006/relationships/hyperlink" Target="http://www.land.gov.il/TozaotMichrazim/resultsDetailed.aspx?id=84595&amp;rc=4&amp;tr=177" TargetMode="External"/><Relationship Id="rId2262" Type="http://schemas.openxmlformats.org/officeDocument/2006/relationships/hyperlink" Target="http://www.land.gov.il/TozaotMichrazim/resultsDetailed.aspx?id=87767&amp;rc=207&amp;tr=424" TargetMode="External"/><Relationship Id="rId234" Type="http://schemas.openxmlformats.org/officeDocument/2006/relationships/hyperlink" Target="http://www.land.gov.il/TozaotMichrazim/resultsDetailed.aspx?id=84955&amp;rc=100&amp;tr=1693" TargetMode="External"/><Relationship Id="rId679" Type="http://schemas.openxmlformats.org/officeDocument/2006/relationships/hyperlink" Target="http://www.land.gov.il/TozaotMichrazim/resultsDetailed.aspx?id=85465&amp;rc=610&amp;tr=1693" TargetMode="External"/><Relationship Id="rId886" Type="http://schemas.openxmlformats.org/officeDocument/2006/relationships/hyperlink" Target="http://www.land.gov.il/TozaotMichrazim/resultsDetailed.aspx?id=82775&amp;rc=874&amp;tr=1693" TargetMode="External"/><Relationship Id="rId2567" Type="http://schemas.openxmlformats.org/officeDocument/2006/relationships/control" Target="../activeX/activeX28.xml"/><Relationship Id="rId2774" Type="http://schemas.openxmlformats.org/officeDocument/2006/relationships/control" Target="../activeX/activeX235.xml"/><Relationship Id="rId2" Type="http://schemas.openxmlformats.org/officeDocument/2006/relationships/hyperlink" Target="http://www.themarker.com/realestate/1.3137641" TargetMode="External"/><Relationship Id="rId441" Type="http://schemas.openxmlformats.org/officeDocument/2006/relationships/hyperlink" Target="http://www.land.gov.il/TozaotMichrazim/resultsDetailed.aspx?id=85177&amp;rc=322&amp;tr=1693" TargetMode="External"/><Relationship Id="rId539" Type="http://schemas.openxmlformats.org/officeDocument/2006/relationships/hyperlink" Target="http://www.land.gov.il/TozaotMichrazim/resultsDetailed.aspx?id=85291&amp;rc=436&amp;tr=1693" TargetMode="External"/><Relationship Id="rId746" Type="http://schemas.openxmlformats.org/officeDocument/2006/relationships/hyperlink" Target="http://www.land.gov.il/TozaotMichrazim/resultsDetailed.aspx?id=85555&amp;rc=700&amp;tr=1693" TargetMode="External"/><Relationship Id="rId1071" Type="http://schemas.openxmlformats.org/officeDocument/2006/relationships/hyperlink" Target="http://www.land.gov.il/TozaotMichrazim/resultsDetailed.aspx?id=82993&amp;rc=1092&amp;tr=1693" TargetMode="External"/><Relationship Id="rId1169" Type="http://schemas.openxmlformats.org/officeDocument/2006/relationships/hyperlink" Target="http://www.land.gov.il/TozaotMichrazim/resultsDetailed.aspx?id=83108&amp;rc=1207&amp;tr=1693" TargetMode="External"/><Relationship Id="rId1376" Type="http://schemas.openxmlformats.org/officeDocument/2006/relationships/hyperlink" Target="http://www.land.gov.il/TozaotMichrazim/resultsDetailed.aspx?id=76277&amp;rc=1429&amp;tr=1693" TargetMode="External"/><Relationship Id="rId1583" Type="http://schemas.openxmlformats.org/officeDocument/2006/relationships/hyperlink" Target="http://www.land.gov.il/TozaotMichrazim/resultsDetailed.aspx?id=86479&amp;rc=70&amp;tr=674" TargetMode="External"/><Relationship Id="rId2122" Type="http://schemas.openxmlformats.org/officeDocument/2006/relationships/hyperlink" Target="http://www.land.gov.il/shivukweb/pages/Prj_agam3.html" TargetMode="External"/><Relationship Id="rId2427" Type="http://schemas.openxmlformats.org/officeDocument/2006/relationships/hyperlink" Target="http://www.land.gov.il/TozaotMichrazim/resultsDetailed.aspx?id=87259&amp;rc=396&amp;tr=424" TargetMode="External"/><Relationship Id="rId301" Type="http://schemas.openxmlformats.org/officeDocument/2006/relationships/hyperlink" Target="http://www.land.gov.il/TozaotMichrazim/resultsDetailed.aspx?id=85027&amp;rc=172&amp;tr=1693" TargetMode="External"/><Relationship Id="rId953" Type="http://schemas.openxmlformats.org/officeDocument/2006/relationships/hyperlink" Target="http://www.land.gov.il/TozaotMichrazim/resultsDetailed.aspx?id=82847&amp;rc=946&amp;tr=1693" TargetMode="External"/><Relationship Id="rId1029" Type="http://schemas.openxmlformats.org/officeDocument/2006/relationships/hyperlink" Target="http://www.land.gov.il/TozaotMichrazim/resultsDetailed.aspx?id=82941&amp;rc=1040&amp;tr=1693" TargetMode="External"/><Relationship Id="rId1236" Type="http://schemas.openxmlformats.org/officeDocument/2006/relationships/hyperlink" Target="http://www.land.gov.il/TozaotMichrazim/resultsDetailed.aspx?id=81804&amp;rc=1287&amp;tr=1693" TargetMode="External"/><Relationship Id="rId1790" Type="http://schemas.openxmlformats.org/officeDocument/2006/relationships/hyperlink" Target="http://www.land.gov.il/TozaotMichrazim/resultsDetailed.aspx?id=81373&amp;rc=306&amp;tr=674" TargetMode="External"/><Relationship Id="rId1888" Type="http://schemas.openxmlformats.org/officeDocument/2006/relationships/hyperlink" Target="http://www.land.gov.il/TozaotMichrazim/resultsDetailed.aspx?id=79384&amp;rc=404&amp;tr=674" TargetMode="External"/><Relationship Id="rId2634" Type="http://schemas.openxmlformats.org/officeDocument/2006/relationships/control" Target="../activeX/activeX95.xml"/><Relationship Id="rId82" Type="http://schemas.openxmlformats.org/officeDocument/2006/relationships/hyperlink" Target="http://www.land.gov.il/TozaotMichrazim/resultsDetailed.aspx?id=84665&amp;rc=76&amp;tr=685" TargetMode="External"/><Relationship Id="rId606" Type="http://schemas.openxmlformats.org/officeDocument/2006/relationships/hyperlink" Target="http://www.land.gov.il/TozaotMichrazim/resultsDetailed.aspx?id=85378&amp;rc=523&amp;tr=1693" TargetMode="External"/><Relationship Id="rId813" Type="http://schemas.openxmlformats.org/officeDocument/2006/relationships/hyperlink" Target="http://www.land.gov.il/TozaotMichrazim/resultsDetailed.aspx?id=82688&amp;rc=787&amp;tr=1693" TargetMode="External"/><Relationship Id="rId1443" Type="http://schemas.openxmlformats.org/officeDocument/2006/relationships/hyperlink" Target="http://www.land.gov.il/TozaotMichrazim/resultsDetailed.aspx?id=87256&amp;rc=30&amp;tr=421" TargetMode="External"/><Relationship Id="rId1650" Type="http://schemas.openxmlformats.org/officeDocument/2006/relationships/hyperlink" Target="http://www.land.gov.il/TozaotMichrazim/resultsDetailed.aspx?id=86546&amp;rc=137&amp;tr=674" TargetMode="External"/><Relationship Id="rId1748" Type="http://schemas.openxmlformats.org/officeDocument/2006/relationships/hyperlink" Target="http://www.land.gov.il/TozaotMichrazim/resultsDetailed.aspx?id=81328&amp;rc=261&amp;tr=674" TargetMode="External"/><Relationship Id="rId2701" Type="http://schemas.openxmlformats.org/officeDocument/2006/relationships/control" Target="../activeX/activeX162.xml"/><Relationship Id="rId1303" Type="http://schemas.openxmlformats.org/officeDocument/2006/relationships/hyperlink" Target="http://www.land.gov.il/TozaotMichrazim/resultsDetailed.aspx?id=78779&amp;rc=1356&amp;tr=1693" TargetMode="External"/><Relationship Id="rId1510" Type="http://schemas.openxmlformats.org/officeDocument/2006/relationships/hyperlink" Target="http://www.land.gov.il/TozaotMichrazim/resultsDetailed.aspx?id=86277&amp;rc=1&amp;tr=679" TargetMode="External"/><Relationship Id="rId1955" Type="http://schemas.openxmlformats.org/officeDocument/2006/relationships/hyperlink" Target="http://www.land.gov.il/TozaotMichrazim/resultsDetailed.aspx?id=76989&amp;rc=491&amp;tr=674" TargetMode="External"/><Relationship Id="rId1608" Type="http://schemas.openxmlformats.org/officeDocument/2006/relationships/hyperlink" Target="http://www.land.gov.il/TozaotMichrazim/resultsDetailed.aspx?id=86504&amp;rc=95&amp;tr=674" TargetMode="External"/><Relationship Id="rId1815" Type="http://schemas.openxmlformats.org/officeDocument/2006/relationships/hyperlink" Target="http://www.land.gov.il/TozaotMichrazim/resultsDetailed.aspx?id=81398&amp;rc=331&amp;tr=674" TargetMode="External"/><Relationship Id="rId189" Type="http://schemas.openxmlformats.org/officeDocument/2006/relationships/hyperlink" Target="http://www.land.gov.il/TozaotMichrazim/resultsDetailed.aspx?id=84910&amp;rc=55&amp;tr=1693" TargetMode="External"/><Relationship Id="rId396" Type="http://schemas.openxmlformats.org/officeDocument/2006/relationships/hyperlink" Target="http://www.land.gov.il/TozaotMichrazim/resultsDetailed.aspx?id=85124&amp;rc=269&amp;tr=1693" TargetMode="External"/><Relationship Id="rId2077" Type="http://schemas.openxmlformats.org/officeDocument/2006/relationships/hyperlink" Target="http://www.land.gov.il/TozaotMichrazim/resultsDetailed.aspx?id=87058&amp;rc=18&amp;tr=115" TargetMode="External"/><Relationship Id="rId2284" Type="http://schemas.openxmlformats.org/officeDocument/2006/relationships/hyperlink" Target="http://www.land.gov.il/TozaotMichrazim/resultsDetailed.aspx?id=87653&amp;rc=231&amp;tr=424" TargetMode="External"/><Relationship Id="rId2491" Type="http://schemas.openxmlformats.org/officeDocument/2006/relationships/hyperlink" Target="http://www.land.gov.il/TozaotMichrazim/resultsDetailed.aspx?id=73462&amp;rc=43&amp;tr=87" TargetMode="External"/><Relationship Id="rId256" Type="http://schemas.openxmlformats.org/officeDocument/2006/relationships/hyperlink" Target="http://www.land.gov.il/TozaotMichrazim/resultsDetailed.aspx?id=84982&amp;rc=127&amp;tr=1693" TargetMode="External"/><Relationship Id="rId463" Type="http://schemas.openxmlformats.org/officeDocument/2006/relationships/hyperlink" Target="http://www.land.gov.il/TozaotMichrazim/resultsDetailed.aspx?id=85199&amp;rc=344&amp;tr=1693" TargetMode="External"/><Relationship Id="rId670" Type="http://schemas.openxmlformats.org/officeDocument/2006/relationships/hyperlink" Target="http://www.land.gov.il/TozaotMichrazim/resultsDetailed.aspx?id=85456&amp;rc=601&amp;tr=1693" TargetMode="External"/><Relationship Id="rId1093" Type="http://schemas.openxmlformats.org/officeDocument/2006/relationships/hyperlink" Target="http://www.land.gov.il/TozaotMichrazim/resultsDetailed.aspx?id=83021&amp;rc=1120&amp;tr=1693" TargetMode="External"/><Relationship Id="rId2144" Type="http://schemas.openxmlformats.org/officeDocument/2006/relationships/hyperlink" Target="http://www.land.gov.il/IturTabot2/taba2.aspx?tbMerchav=425&amp;tbMsTochnit=%25u05e8%25u05e0/265/%25u05d0" TargetMode="External"/><Relationship Id="rId2351" Type="http://schemas.openxmlformats.org/officeDocument/2006/relationships/hyperlink" Target="http://www.land.gov.il/TozaotMichrazim/resultsDetailed.aspx?id=87720&amp;rc=298&amp;tr=424" TargetMode="External"/><Relationship Id="rId2589" Type="http://schemas.openxmlformats.org/officeDocument/2006/relationships/control" Target="../activeX/activeX50.xml"/><Relationship Id="rId2796" Type="http://schemas.openxmlformats.org/officeDocument/2006/relationships/control" Target="../activeX/activeX257.xml"/><Relationship Id="rId116" Type="http://schemas.openxmlformats.org/officeDocument/2006/relationships/hyperlink" Target="http://www.land.gov.il/TozaotMichrazim/resultsDetailed.aspx?id=81800&amp;rc=110&amp;tr=685" TargetMode="External"/><Relationship Id="rId323" Type="http://schemas.openxmlformats.org/officeDocument/2006/relationships/hyperlink" Target="http://www.land.gov.il/TozaotMichrazim/resultsDetailed.aspx?id=85049&amp;rc=194&amp;tr=1693" TargetMode="External"/><Relationship Id="rId530" Type="http://schemas.openxmlformats.org/officeDocument/2006/relationships/hyperlink" Target="http://www.land.gov.il/TozaotMichrazim/resultsDetailed.aspx?id=85282&amp;rc=427&amp;tr=1693" TargetMode="External"/><Relationship Id="rId768" Type="http://schemas.openxmlformats.org/officeDocument/2006/relationships/hyperlink" Target="http://www.land.gov.il/TozaotMichrazim/resultsDetailed.aspx?id=83814&amp;rc=724&amp;tr=1693" TargetMode="External"/><Relationship Id="rId975" Type="http://schemas.openxmlformats.org/officeDocument/2006/relationships/hyperlink" Target="http://www.land.gov.il/TozaotMichrazim/resultsDetailed.aspx?id=82875&amp;rc=974&amp;tr=1693" TargetMode="External"/><Relationship Id="rId1160" Type="http://schemas.openxmlformats.org/officeDocument/2006/relationships/hyperlink" Target="http://www.land.gov.il/TozaotMichrazim/resultsDetailed.aspx?id=83096&amp;rc=1195&amp;tr=1693" TargetMode="External"/><Relationship Id="rId1398" Type="http://schemas.openxmlformats.org/officeDocument/2006/relationships/hyperlink" Target="http://www.land.gov.il/TozaotMichrazim/resultsDetailed.aspx?id=81846&amp;rc=8&amp;tr=79" TargetMode="External"/><Relationship Id="rId2004" Type="http://schemas.openxmlformats.org/officeDocument/2006/relationships/hyperlink" Target="http://www.land.gov.il/TozaotMichrazim/resultsDetailed.aspx?id=83630&amp;rc=27&amp;tr=440" TargetMode="External"/><Relationship Id="rId2211" Type="http://schemas.openxmlformats.org/officeDocument/2006/relationships/hyperlink" Target="http://www.land.gov.il/TozaotMichrazim/Results.aspx?NewSearch=true&amp;ynmichraz=2014&amp;anMichraz=%e7%e9&amp;Nnmichraz=359" TargetMode="External"/><Relationship Id="rId2449" Type="http://schemas.openxmlformats.org/officeDocument/2006/relationships/hyperlink" Target="http://www.land.gov.il/TozaotMichrazim/resultsDetailed.aspx?id=85573&amp;rc=1&amp;tr=87" TargetMode="External"/><Relationship Id="rId2656" Type="http://schemas.openxmlformats.org/officeDocument/2006/relationships/control" Target="../activeX/activeX117.xml"/><Relationship Id="rId628" Type="http://schemas.openxmlformats.org/officeDocument/2006/relationships/hyperlink" Target="http://www.land.gov.il/TozaotMichrazim/resultsDetailed.aspx?id=85406&amp;rc=551&amp;tr=1693" TargetMode="External"/><Relationship Id="rId835" Type="http://schemas.openxmlformats.org/officeDocument/2006/relationships/hyperlink" Target="http://www.land.gov.il/TozaotMichrazim/resultsDetailed.aspx?id=82721&amp;rc=820&amp;tr=1693" TargetMode="External"/><Relationship Id="rId1258" Type="http://schemas.openxmlformats.org/officeDocument/2006/relationships/hyperlink" Target="http://www.land.gov.il/TozaotMichrazim/resultsDetailed.aspx?id=79331&amp;rc=1311&amp;tr=1693" TargetMode="External"/><Relationship Id="rId1465" Type="http://schemas.openxmlformats.org/officeDocument/2006/relationships/hyperlink" Target="http://www.land.gov.il/TozaotMichrazim/resultsDetailed.aspx?id=81924&amp;rc=54&amp;tr=421" TargetMode="External"/><Relationship Id="rId1672" Type="http://schemas.openxmlformats.org/officeDocument/2006/relationships/hyperlink" Target="http://www.land.gov.il/TozaotMichrazim/resultsDetailed.aspx?id=84700&amp;rc=162&amp;tr=674" TargetMode="External"/><Relationship Id="rId2309" Type="http://schemas.openxmlformats.org/officeDocument/2006/relationships/hyperlink" Target="http://www.land.gov.il/TozaotMichrazim/resultsDetailed.aspx?id=87678&amp;rc=256&amp;tr=424" TargetMode="External"/><Relationship Id="rId2516" Type="http://schemas.openxmlformats.org/officeDocument/2006/relationships/hyperlink" Target="http://www.land.gov.il/TozaotMichrazim/resultsDetailed.aspx?id=71356&amp;rc=68&amp;tr=87" TargetMode="External"/><Relationship Id="rId2723" Type="http://schemas.openxmlformats.org/officeDocument/2006/relationships/control" Target="../activeX/activeX184.xml"/><Relationship Id="rId1020" Type="http://schemas.openxmlformats.org/officeDocument/2006/relationships/hyperlink" Target="http://www.land.gov.il/TozaotMichrazim/resultsDetailed.aspx?id=82931&amp;rc=1030&amp;tr=1693" TargetMode="External"/><Relationship Id="rId1118" Type="http://schemas.openxmlformats.org/officeDocument/2006/relationships/hyperlink" Target="http://www.land.gov.il/TozaotMichrazim/resultsDetailed.aspx?id=83049&amp;rc=1148&amp;tr=1693" TargetMode="External"/><Relationship Id="rId1325" Type="http://schemas.openxmlformats.org/officeDocument/2006/relationships/hyperlink" Target="http://www.land.gov.il/TozaotMichrazim/resultsDetailed.aspx?id=76226&amp;rc=1378&amp;tr=1693" TargetMode="External"/><Relationship Id="rId1532" Type="http://schemas.openxmlformats.org/officeDocument/2006/relationships/hyperlink" Target="http://www.land.gov.il/TozaotMichrazim/resultsDetailed.aspx?id=86428&amp;rc=19&amp;tr=674" TargetMode="External"/><Relationship Id="rId1977" Type="http://schemas.openxmlformats.org/officeDocument/2006/relationships/hyperlink" Target="http://www.land.gov.il/TozaotMichrazim/resultsDetailed.aspx?id=75024&amp;rc=514&amp;tr=674" TargetMode="External"/><Relationship Id="rId902" Type="http://schemas.openxmlformats.org/officeDocument/2006/relationships/hyperlink" Target="http://www.land.gov.il/TozaotMichrazim/resultsDetailed.aspx?id=82792&amp;rc=891&amp;tr=1693" TargetMode="External"/><Relationship Id="rId1837" Type="http://schemas.openxmlformats.org/officeDocument/2006/relationships/hyperlink" Target="http://www.land.gov.il/TozaotMichrazim/resultsDetailed.aspx?id=79917&amp;rc=353&amp;tr=674" TargetMode="External"/><Relationship Id="rId31" Type="http://schemas.openxmlformats.org/officeDocument/2006/relationships/hyperlink" Target="http://www.land.gov.il/TozaotMichrazim/resultsDetailed.aspx?id=84614&amp;rc=25&amp;tr=685" TargetMode="External"/><Relationship Id="rId2099" Type="http://schemas.openxmlformats.org/officeDocument/2006/relationships/hyperlink" Target="http://www.land.gov.il/TozaotMichrazim/resultsDetailed.aspx?id=79155&amp;rc=15&amp;tr=100" TargetMode="External"/><Relationship Id="rId180" Type="http://schemas.openxmlformats.org/officeDocument/2006/relationships/hyperlink" Target="http://www.land.gov.il/TozaotMichrazim/resultsDetailed.aspx?id=84900&amp;rc=45&amp;tr=1693" TargetMode="External"/><Relationship Id="rId278" Type="http://schemas.openxmlformats.org/officeDocument/2006/relationships/hyperlink" Target="http://www.land.gov.il/TozaotMichrazim/resultsDetailed.aspx?id=85004&amp;rc=149&amp;tr=1693" TargetMode="External"/><Relationship Id="rId1904" Type="http://schemas.openxmlformats.org/officeDocument/2006/relationships/hyperlink" Target="http://www.land.gov.il/TozaotMichrazim/resultsDetailed.aspx?id=79400&amp;rc=420&amp;tr=674" TargetMode="External"/><Relationship Id="rId485" Type="http://schemas.openxmlformats.org/officeDocument/2006/relationships/hyperlink" Target="http://www.land.gov.il/TozaotMichrazim/resultsDetailed.aspx?id=85222&amp;rc=367&amp;tr=1693" TargetMode="External"/><Relationship Id="rId692" Type="http://schemas.openxmlformats.org/officeDocument/2006/relationships/hyperlink" Target="http://www.land.gov.il/TozaotMichrazim/resultsDetailed.aspx?id=85479&amp;rc=624&amp;tr=1693" TargetMode="External"/><Relationship Id="rId2166" Type="http://schemas.openxmlformats.org/officeDocument/2006/relationships/hyperlink" Target="http://www.land.gov.il/PirsumMichrazim/Aspx/pirsumDetails.aspx?id=2432016%EE%F8&amp;rc=4&amp;tr=6" TargetMode="External"/><Relationship Id="rId2373" Type="http://schemas.openxmlformats.org/officeDocument/2006/relationships/hyperlink" Target="http://www.land.gov.il/TozaotMichrazim/resultsDetailed.aspx?id=87742&amp;rc=320&amp;tr=424" TargetMode="External"/><Relationship Id="rId2580" Type="http://schemas.openxmlformats.org/officeDocument/2006/relationships/control" Target="../activeX/activeX41.xml"/><Relationship Id="rId138" Type="http://schemas.openxmlformats.org/officeDocument/2006/relationships/hyperlink" Target="http://www.land.gov.il/TozaotMichrazim/resultsDetailed.aspx?id=76746&amp;rc=138&amp;tr=685" TargetMode="External"/><Relationship Id="rId345" Type="http://schemas.openxmlformats.org/officeDocument/2006/relationships/hyperlink" Target="http://www.land.gov.il/TozaotMichrazim/resultsDetailed.aspx?id=85071&amp;rc=216&amp;tr=1693" TargetMode="External"/><Relationship Id="rId552" Type="http://schemas.openxmlformats.org/officeDocument/2006/relationships/hyperlink" Target="http://www.land.gov.il/TozaotMichrazim/resultsDetailed.aspx?id=85307&amp;rc=452&amp;tr=1693" TargetMode="External"/><Relationship Id="rId997" Type="http://schemas.openxmlformats.org/officeDocument/2006/relationships/hyperlink" Target="http://www.land.gov.il/TozaotMichrazim/resultsDetailed.aspx?id=82906&amp;rc=1005&amp;tr=1693" TargetMode="External"/><Relationship Id="rId1182" Type="http://schemas.openxmlformats.org/officeDocument/2006/relationships/hyperlink" Target="http://www.land.gov.il/TozaotMichrazim/resultsDetailed.aspx?id=83121&amp;rc=1220&amp;tr=1693" TargetMode="External"/><Relationship Id="rId2026" Type="http://schemas.openxmlformats.org/officeDocument/2006/relationships/hyperlink" Target="http://www.land.gov.il/TozaotMichrazim/resultsDetailed.aspx?id=79127&amp;rc=52&amp;tr=440" TargetMode="External"/><Relationship Id="rId2233" Type="http://schemas.openxmlformats.org/officeDocument/2006/relationships/hyperlink" Target="http://land.gov.il/TozaotMichrazim/Results.aspx?NewSearch=true&amp;ynmichraz=2015&amp;anMichraz=%e7%e9&amp;Nnmichraz=274" TargetMode="External"/><Relationship Id="rId2440" Type="http://schemas.openxmlformats.org/officeDocument/2006/relationships/hyperlink" Target="http://www.land.gov.il/TozaotMichrazim/resultsDetailed.aspx?id=87323&amp;rc=416&amp;tr=424" TargetMode="External"/><Relationship Id="rId2678" Type="http://schemas.openxmlformats.org/officeDocument/2006/relationships/control" Target="../activeX/activeX139.xml"/><Relationship Id="rId205" Type="http://schemas.openxmlformats.org/officeDocument/2006/relationships/hyperlink" Target="http://www.land.gov.il/TozaotMichrazim/resultsDetailed.aspx?id=84926&amp;rc=71&amp;tr=1693" TargetMode="External"/><Relationship Id="rId412" Type="http://schemas.openxmlformats.org/officeDocument/2006/relationships/hyperlink" Target="http://www.land.gov.il/TozaotMichrazim/resultsDetailed.aspx?id=85147&amp;rc=292&amp;tr=1693" TargetMode="External"/><Relationship Id="rId857" Type="http://schemas.openxmlformats.org/officeDocument/2006/relationships/hyperlink" Target="http://www.land.gov.il/TozaotMichrazim/resultsDetailed.aspx?id=82745&amp;rc=844&amp;tr=1693" TargetMode="External"/><Relationship Id="rId1042" Type="http://schemas.openxmlformats.org/officeDocument/2006/relationships/hyperlink" Target="http://www.land.gov.il/TozaotMichrazim/resultsDetailed.aspx?id=82958&amp;rc=1057&amp;tr=1693" TargetMode="External"/><Relationship Id="rId1487" Type="http://schemas.openxmlformats.org/officeDocument/2006/relationships/hyperlink" Target="http://www.land.gov.il/TozaotMichrazim/resultsDetailed.aspx?id=80121&amp;rc=83&amp;tr=421" TargetMode="External"/><Relationship Id="rId1694" Type="http://schemas.openxmlformats.org/officeDocument/2006/relationships/hyperlink" Target="http://www.land.gov.il/TozaotMichrazim/resultsDetailed.aspx?id=83387&amp;rc=202&amp;tr=674" TargetMode="External"/><Relationship Id="rId2300" Type="http://schemas.openxmlformats.org/officeDocument/2006/relationships/hyperlink" Target="http://www.land.gov.il/TozaotMichrazim/resultsDetailed.aspx?id=87669&amp;rc=247&amp;tr=424" TargetMode="External"/><Relationship Id="rId2538" Type="http://schemas.openxmlformats.org/officeDocument/2006/relationships/vmlDrawing" Target="../drawings/vmlDrawing2.vml"/><Relationship Id="rId2745" Type="http://schemas.openxmlformats.org/officeDocument/2006/relationships/control" Target="../activeX/activeX206.xml"/><Relationship Id="rId717" Type="http://schemas.openxmlformats.org/officeDocument/2006/relationships/hyperlink" Target="http://www.land.gov.il/TozaotMichrazim/resultsDetailed.aspx?id=85509&amp;rc=654&amp;tr=1693" TargetMode="External"/><Relationship Id="rId924" Type="http://schemas.openxmlformats.org/officeDocument/2006/relationships/hyperlink" Target="http://www.land.gov.il/TozaotMichrazim/resultsDetailed.aspx?id=82815&amp;rc=914&amp;tr=1693" TargetMode="External"/><Relationship Id="rId1347" Type="http://schemas.openxmlformats.org/officeDocument/2006/relationships/hyperlink" Target="http://www.land.gov.il/TozaotMichrazim/resultsDetailed.aspx?id=76248&amp;rc=1400&amp;tr=1693" TargetMode="External"/><Relationship Id="rId1554" Type="http://schemas.openxmlformats.org/officeDocument/2006/relationships/hyperlink" Target="http://www.land.gov.il/TozaotMichrazim/resultsDetailed.aspx?id=86450&amp;rc=41&amp;tr=674" TargetMode="External"/><Relationship Id="rId1761" Type="http://schemas.openxmlformats.org/officeDocument/2006/relationships/hyperlink" Target="http://www.land.gov.il/TozaotMichrazim/resultsDetailed.aspx?id=81341&amp;rc=274&amp;tr=674" TargetMode="External"/><Relationship Id="rId1999" Type="http://schemas.openxmlformats.org/officeDocument/2006/relationships/hyperlink" Target="http://www.land.gov.il/TozaotMichrazim/resultsDetailed.aspx?id=83625&amp;rc=22&amp;tr=440" TargetMode="External"/><Relationship Id="rId2605" Type="http://schemas.openxmlformats.org/officeDocument/2006/relationships/control" Target="../activeX/activeX66.xml"/><Relationship Id="rId53" Type="http://schemas.openxmlformats.org/officeDocument/2006/relationships/hyperlink" Target="http://www.land.gov.il/TozaotMichrazim/resultsDetailed.aspx?id=84636&amp;rc=47&amp;tr=685" TargetMode="External"/><Relationship Id="rId1207" Type="http://schemas.openxmlformats.org/officeDocument/2006/relationships/hyperlink" Target="http://www.land.gov.il/TozaotMichrazim/resultsDetailed.aspx?id=83148&amp;rc=1247&amp;tr=1693" TargetMode="External"/><Relationship Id="rId1414" Type="http://schemas.openxmlformats.org/officeDocument/2006/relationships/hyperlink" Target="http://www.land.gov.il/TozaotMichrazim/resultsDetailed.aspx?id=87227&amp;rc=1&amp;tr=421" TargetMode="External"/><Relationship Id="rId1621" Type="http://schemas.openxmlformats.org/officeDocument/2006/relationships/hyperlink" Target="http://www.land.gov.il/TozaotMichrazim/resultsDetailed.aspx?id=86517&amp;rc=108&amp;tr=674" TargetMode="External"/><Relationship Id="rId1859" Type="http://schemas.openxmlformats.org/officeDocument/2006/relationships/hyperlink" Target="http://www.land.gov.il/TozaotMichrazim/resultsDetailed.aspx?id=79939&amp;rc=375&amp;tr=674" TargetMode="External"/><Relationship Id="rId1719" Type="http://schemas.openxmlformats.org/officeDocument/2006/relationships/hyperlink" Target="http://www.land.gov.il/TozaotMichrazim/resultsDetailed.aspx?id=81298&amp;rc=231&amp;tr=674" TargetMode="External"/><Relationship Id="rId1926" Type="http://schemas.openxmlformats.org/officeDocument/2006/relationships/hyperlink" Target="http://www.land.gov.il/TozaotMichrazim/resultsDetailed.aspx?id=76953&amp;rc=455&amp;tr=674" TargetMode="External"/><Relationship Id="rId2090" Type="http://schemas.openxmlformats.org/officeDocument/2006/relationships/hyperlink" Target="http://www.land.gov.il/TozaotMichrazim/resultsDetailed.aspx?id=86679&amp;rc=4&amp;tr=100" TargetMode="External"/><Relationship Id="rId2188" Type="http://schemas.openxmlformats.org/officeDocument/2006/relationships/hyperlink" Target="http://www.land.gov.il/PirsumMichrazim/Aspx/pirsumDetails.aspx?id=1912016%E1%F9&amp;rc=3&amp;tr=196" TargetMode="External"/><Relationship Id="rId2395" Type="http://schemas.openxmlformats.org/officeDocument/2006/relationships/hyperlink" Target="http://www.land.gov.il/TozaotMichrazim/resultsDetailed.aspx?id=87300&amp;rc=346&amp;tr=424" TargetMode="External"/><Relationship Id="rId367" Type="http://schemas.openxmlformats.org/officeDocument/2006/relationships/hyperlink" Target="http://www.land.gov.il/TozaotMichrazim/resultsDetailed.aspx?id=85093&amp;rc=238&amp;tr=1693" TargetMode="External"/><Relationship Id="rId574" Type="http://schemas.openxmlformats.org/officeDocument/2006/relationships/hyperlink" Target="http://www.land.gov.il/TozaotMichrazim/resultsDetailed.aspx?id=85331&amp;rc=476&amp;tr=1693" TargetMode="External"/><Relationship Id="rId2048" Type="http://schemas.openxmlformats.org/officeDocument/2006/relationships/hyperlink" Target="http://www.land.gov.il/TozaotMichrazim/resultsDetailed.aspx?id=86640&amp;rc=11&amp;tr=155" TargetMode="External"/><Relationship Id="rId2255" Type="http://schemas.openxmlformats.org/officeDocument/2006/relationships/hyperlink" Target="http://www.land.gov.il/TozaotMichrazim/resultsDetailed.aspx?id=87759&amp;rc=200&amp;tr=424" TargetMode="External"/><Relationship Id="rId227" Type="http://schemas.openxmlformats.org/officeDocument/2006/relationships/hyperlink" Target="http://www.land.gov.il/TozaotMichrazim/resultsDetailed.aspx?id=84948&amp;rc=93&amp;tr=1693" TargetMode="External"/><Relationship Id="rId781" Type="http://schemas.openxmlformats.org/officeDocument/2006/relationships/hyperlink" Target="http://www.land.gov.il/TozaotMichrazim/resultsDetailed.aspx?id=82644&amp;rc=743&amp;tr=1693" TargetMode="External"/><Relationship Id="rId879" Type="http://schemas.openxmlformats.org/officeDocument/2006/relationships/hyperlink" Target="http://www.land.gov.il/TozaotMichrazim/resultsDetailed.aspx?id=82768&amp;rc=867&amp;tr=1693" TargetMode="External"/><Relationship Id="rId2462" Type="http://schemas.openxmlformats.org/officeDocument/2006/relationships/hyperlink" Target="http://www.land.gov.il/TozaotMichrazim/resultsDetailed.aspx?id=85586&amp;rc=14&amp;tr=87" TargetMode="External"/><Relationship Id="rId2767" Type="http://schemas.openxmlformats.org/officeDocument/2006/relationships/control" Target="../activeX/activeX228.xml"/><Relationship Id="rId434" Type="http://schemas.openxmlformats.org/officeDocument/2006/relationships/hyperlink" Target="http://www.land.gov.il/TozaotMichrazim/resultsDetailed.aspx?id=85170&amp;rc=315&amp;tr=1693" TargetMode="External"/><Relationship Id="rId641" Type="http://schemas.openxmlformats.org/officeDocument/2006/relationships/hyperlink" Target="http://www.land.gov.il/TozaotMichrazim/resultsDetailed.aspx?id=85420&amp;rc=565&amp;tr=1693" TargetMode="External"/><Relationship Id="rId739" Type="http://schemas.openxmlformats.org/officeDocument/2006/relationships/hyperlink" Target="http://www.land.gov.il/TozaotMichrazim/resultsDetailed.aspx?id=85544&amp;rc=689&amp;tr=1693" TargetMode="External"/><Relationship Id="rId1064" Type="http://schemas.openxmlformats.org/officeDocument/2006/relationships/hyperlink" Target="http://www.land.gov.il/TozaotMichrazim/resultsDetailed.aspx?id=82985&amp;rc=1084&amp;tr=1693" TargetMode="External"/><Relationship Id="rId1271" Type="http://schemas.openxmlformats.org/officeDocument/2006/relationships/hyperlink" Target="http://www.land.gov.il/TozaotMichrazim/resultsDetailed.aspx?id=79344&amp;rc=1324&amp;tr=1693" TargetMode="External"/><Relationship Id="rId1369" Type="http://schemas.openxmlformats.org/officeDocument/2006/relationships/hyperlink" Target="http://www.land.gov.il/TozaotMichrazim/resultsDetailed.aspx?id=76270&amp;rc=1422&amp;tr=1693" TargetMode="External"/><Relationship Id="rId1576" Type="http://schemas.openxmlformats.org/officeDocument/2006/relationships/hyperlink" Target="http://www.land.gov.il/TozaotMichrazim/resultsDetailed.aspx?id=86472&amp;rc=63&amp;tr=674" TargetMode="External"/><Relationship Id="rId2115" Type="http://schemas.openxmlformats.org/officeDocument/2006/relationships/hyperlink" Target="http://www.land.gov.il/PirsumMichrazim/Aspx/pirsumDetails.aspx?id=1392016%EE%F8&amp;rc=1&amp;tr=6" TargetMode="External"/><Relationship Id="rId2322" Type="http://schemas.openxmlformats.org/officeDocument/2006/relationships/hyperlink" Target="http://www.land.gov.il/TozaotMichrazim/resultsDetailed.aspx?id=87691&amp;rc=269&amp;tr=424" TargetMode="External"/><Relationship Id="rId501" Type="http://schemas.openxmlformats.org/officeDocument/2006/relationships/hyperlink" Target="http://www.land.gov.il/TozaotMichrazim/resultsDetailed.aspx?id=85245&amp;rc=390&amp;tr=1693" TargetMode="External"/><Relationship Id="rId946" Type="http://schemas.openxmlformats.org/officeDocument/2006/relationships/hyperlink" Target="http://www.land.gov.il/TozaotMichrazim/resultsDetailed.aspx?id=82840&amp;rc=939&amp;tr=1693" TargetMode="External"/><Relationship Id="rId1131" Type="http://schemas.openxmlformats.org/officeDocument/2006/relationships/hyperlink" Target="http://www.land.gov.il/TozaotMichrazim/resultsDetailed.aspx?id=83062&amp;rc=1161&amp;tr=1693" TargetMode="External"/><Relationship Id="rId1229" Type="http://schemas.openxmlformats.org/officeDocument/2006/relationships/hyperlink" Target="http://www.land.gov.il/TozaotMichrazim/resultsDetailed.aspx?id=83181&amp;rc=1280&amp;tr=1693" TargetMode="External"/><Relationship Id="rId1783" Type="http://schemas.openxmlformats.org/officeDocument/2006/relationships/hyperlink" Target="http://www.land.gov.il/TozaotMichrazim/resultsDetailed.aspx?id=81365&amp;rc=298&amp;tr=674" TargetMode="External"/><Relationship Id="rId1990" Type="http://schemas.openxmlformats.org/officeDocument/2006/relationships/hyperlink" Target="http://www.land.gov.il/TozaotMichrazim/resultsDetailed.aspx?id=86731&amp;rc=11&amp;tr=440" TargetMode="External"/><Relationship Id="rId2627" Type="http://schemas.openxmlformats.org/officeDocument/2006/relationships/control" Target="../activeX/activeX88.xml"/><Relationship Id="rId75" Type="http://schemas.openxmlformats.org/officeDocument/2006/relationships/hyperlink" Target="http://www.land.gov.il/TozaotMichrazim/resultsDetailed.aspx?id=84658&amp;rc=69&amp;tr=685" TargetMode="External"/><Relationship Id="rId806" Type="http://schemas.openxmlformats.org/officeDocument/2006/relationships/hyperlink" Target="http://www.land.gov.il/TozaotMichrazim/resultsDetailed.aspx?id=82680&amp;rc=779&amp;tr=1693" TargetMode="External"/><Relationship Id="rId1436" Type="http://schemas.openxmlformats.org/officeDocument/2006/relationships/hyperlink" Target="http://www.land.gov.il/TozaotMichrazim/resultsDetailed.aspx?id=87249&amp;rc=23&amp;tr=421" TargetMode="External"/><Relationship Id="rId1643" Type="http://schemas.openxmlformats.org/officeDocument/2006/relationships/hyperlink" Target="http://www.land.gov.il/TozaotMichrazim/resultsDetailed.aspx?id=86539&amp;rc=130&amp;tr=674" TargetMode="External"/><Relationship Id="rId1850" Type="http://schemas.openxmlformats.org/officeDocument/2006/relationships/hyperlink" Target="http://www.land.gov.il/TozaotMichrazim/resultsDetailed.aspx?id=79930&amp;rc=366&amp;tr=674" TargetMode="External"/><Relationship Id="rId1503" Type="http://schemas.openxmlformats.org/officeDocument/2006/relationships/hyperlink" Target="http://www.land.gov.il/TozaotMichrazim/resultsDetailed.aspx?id=80137&amp;rc=99&amp;tr=421" TargetMode="External"/><Relationship Id="rId1710" Type="http://schemas.openxmlformats.org/officeDocument/2006/relationships/hyperlink" Target="http://www.land.gov.il/TozaotMichrazim/resultsDetailed.aspx?id=81288&amp;rc=221&amp;tr=674" TargetMode="External"/><Relationship Id="rId1948" Type="http://schemas.openxmlformats.org/officeDocument/2006/relationships/hyperlink" Target="http://www.land.gov.il/TozaotMichrazim/resultsDetailed.aspx?id=76982&amp;rc=484&amp;tr=674" TargetMode="External"/><Relationship Id="rId291" Type="http://schemas.openxmlformats.org/officeDocument/2006/relationships/hyperlink" Target="http://www.land.gov.il/TozaotMichrazim/resultsDetailed.aspx?id=85017&amp;rc=162&amp;tr=1693" TargetMode="External"/><Relationship Id="rId1808" Type="http://schemas.openxmlformats.org/officeDocument/2006/relationships/hyperlink" Target="http://www.land.gov.il/TozaotMichrazim/resultsDetailed.aspx?id=81391&amp;rc=324&amp;tr=674" TargetMode="External"/><Relationship Id="rId151" Type="http://schemas.openxmlformats.org/officeDocument/2006/relationships/hyperlink" Target="http://www.land.gov.il/TozaotMichrazim/resultsDetailed.aspx?id=76566&amp;rc=153&amp;tr=685" TargetMode="External"/><Relationship Id="rId389" Type="http://schemas.openxmlformats.org/officeDocument/2006/relationships/hyperlink" Target="http://www.land.gov.il/TozaotMichrazim/resultsDetailed.aspx?id=85116&amp;rc=261&amp;tr=1693" TargetMode="External"/><Relationship Id="rId596" Type="http://schemas.openxmlformats.org/officeDocument/2006/relationships/hyperlink" Target="http://www.land.gov.il/TozaotMichrazim/resultsDetailed.aspx?id=85365&amp;rc=510&amp;tr=1693" TargetMode="External"/><Relationship Id="rId2277" Type="http://schemas.openxmlformats.org/officeDocument/2006/relationships/hyperlink" Target="http://www.land.gov.il/TozaotMichrazim/resultsDetailed.aspx?id=87646&amp;rc=224&amp;tr=424" TargetMode="External"/><Relationship Id="rId2484" Type="http://schemas.openxmlformats.org/officeDocument/2006/relationships/hyperlink" Target="http://www.land.gov.il/TozaotMichrazim/resultsDetailed.aspx?id=81167&amp;rc=36&amp;tr=87" TargetMode="External"/><Relationship Id="rId2691" Type="http://schemas.openxmlformats.org/officeDocument/2006/relationships/control" Target="../activeX/activeX152.xml"/><Relationship Id="rId249" Type="http://schemas.openxmlformats.org/officeDocument/2006/relationships/hyperlink" Target="http://www.land.gov.il/TozaotMichrazim/resultsDetailed.aspx?id=84971&amp;rc=116&amp;tr=1693" TargetMode="External"/><Relationship Id="rId456" Type="http://schemas.openxmlformats.org/officeDocument/2006/relationships/hyperlink" Target="http://www.land.gov.il/TozaotMichrazim/resultsDetailed.aspx?id=85192&amp;rc=337&amp;tr=1693" TargetMode="External"/><Relationship Id="rId663" Type="http://schemas.openxmlformats.org/officeDocument/2006/relationships/hyperlink" Target="http://www.land.gov.il/TozaotMichrazim/resultsDetailed.aspx?id=85447&amp;rc=592&amp;tr=1693" TargetMode="External"/><Relationship Id="rId870" Type="http://schemas.openxmlformats.org/officeDocument/2006/relationships/hyperlink" Target="http://www.land.gov.il/TozaotMichrazim/resultsDetailed.aspx?id=82758&amp;rc=857&amp;tr=1693" TargetMode="External"/><Relationship Id="rId1086" Type="http://schemas.openxmlformats.org/officeDocument/2006/relationships/hyperlink" Target="http://www.land.gov.il/TozaotMichrazim/resultsDetailed.aspx?id=83014&amp;rc=1113&amp;tr=1693" TargetMode="External"/><Relationship Id="rId1293" Type="http://schemas.openxmlformats.org/officeDocument/2006/relationships/hyperlink" Target="http://www.land.gov.il/TozaotMichrazim/resultsDetailed.aspx?id=79038&amp;rc=1346&amp;tr=1693" TargetMode="External"/><Relationship Id="rId2137" Type="http://schemas.openxmlformats.org/officeDocument/2006/relationships/hyperlink" Target="http://www.land.gov.il/shivukweb/pages/Prj_rishon-mizrah.html" TargetMode="External"/><Relationship Id="rId2344" Type="http://schemas.openxmlformats.org/officeDocument/2006/relationships/hyperlink" Target="http://www.land.gov.il/TozaotMichrazim/resultsDetailed.aspx?id=87713&amp;rc=291&amp;tr=424" TargetMode="External"/><Relationship Id="rId2551" Type="http://schemas.openxmlformats.org/officeDocument/2006/relationships/control" Target="../activeX/activeX12.xml"/><Relationship Id="rId2789" Type="http://schemas.openxmlformats.org/officeDocument/2006/relationships/control" Target="../activeX/activeX250.xml"/><Relationship Id="rId109" Type="http://schemas.openxmlformats.org/officeDocument/2006/relationships/hyperlink" Target="http://www.land.gov.il/TozaotMichrazim/resultsDetailed.aspx?id=81793&amp;rc=103&amp;tr=685" TargetMode="External"/><Relationship Id="rId316" Type="http://schemas.openxmlformats.org/officeDocument/2006/relationships/hyperlink" Target="http://www.land.gov.il/TozaotMichrazim/resultsDetailed.aspx?id=85042&amp;rc=187&amp;tr=1693" TargetMode="External"/><Relationship Id="rId523" Type="http://schemas.openxmlformats.org/officeDocument/2006/relationships/hyperlink" Target="http://www.land.gov.il/TozaotMichrazim/resultsDetailed.aspx?id=85275&amp;rc=420&amp;tr=1693" TargetMode="External"/><Relationship Id="rId968" Type="http://schemas.openxmlformats.org/officeDocument/2006/relationships/hyperlink" Target="http://www.land.gov.il/TozaotMichrazim/resultsDetailed.aspx?id=82864&amp;rc=963&amp;tr=1693" TargetMode="External"/><Relationship Id="rId1153" Type="http://schemas.openxmlformats.org/officeDocument/2006/relationships/hyperlink" Target="http://www.land.gov.il/TozaotMichrazim/resultsDetailed.aspx?id=83088&amp;rc=1187&amp;tr=1693" TargetMode="External"/><Relationship Id="rId1598" Type="http://schemas.openxmlformats.org/officeDocument/2006/relationships/hyperlink" Target="http://www.land.gov.il/TozaotMichrazim/resultsDetailed.aspx?id=86494&amp;rc=85&amp;tr=674" TargetMode="External"/><Relationship Id="rId2204" Type="http://schemas.openxmlformats.org/officeDocument/2006/relationships/hyperlink" Target="http://www.land.gov.il/PirsumMichrazim/Aspx/pirsumDetails.aspx?id=3362015%E9%ED&amp;rc=7&amp;tr=74" TargetMode="External"/><Relationship Id="rId2649" Type="http://schemas.openxmlformats.org/officeDocument/2006/relationships/control" Target="../activeX/activeX110.xml"/><Relationship Id="rId97" Type="http://schemas.openxmlformats.org/officeDocument/2006/relationships/hyperlink" Target="http://www.land.gov.il/TozaotMichrazim/resultsDetailed.aspx?id=84680&amp;rc=91&amp;tr=685" TargetMode="External"/><Relationship Id="rId730" Type="http://schemas.openxmlformats.org/officeDocument/2006/relationships/hyperlink" Target="http://www.land.gov.il/TozaotMichrazim/resultsDetailed.aspx?id=85530&amp;rc=675&amp;tr=1693" TargetMode="External"/><Relationship Id="rId828" Type="http://schemas.openxmlformats.org/officeDocument/2006/relationships/hyperlink" Target="http://www.land.gov.il/TozaotMichrazim/resultsDetailed.aspx?id=82710&amp;rc=809&amp;tr=1693" TargetMode="External"/><Relationship Id="rId1013" Type="http://schemas.openxmlformats.org/officeDocument/2006/relationships/hyperlink" Target="http://www.land.gov.il/TozaotMichrazim/resultsDetailed.aspx?id=82923&amp;rc=1022&amp;tr=1693" TargetMode="External"/><Relationship Id="rId1360" Type="http://schemas.openxmlformats.org/officeDocument/2006/relationships/hyperlink" Target="http://www.land.gov.il/TozaotMichrazim/resultsDetailed.aspx?id=76261&amp;rc=1413&amp;tr=1693" TargetMode="External"/><Relationship Id="rId1458" Type="http://schemas.openxmlformats.org/officeDocument/2006/relationships/hyperlink" Target="http://www.land.gov.il/TozaotMichrazim/resultsDetailed.aspx?id=83299&amp;rc=47&amp;tr=421" TargetMode="External"/><Relationship Id="rId1665" Type="http://schemas.openxmlformats.org/officeDocument/2006/relationships/hyperlink" Target="http://www.land.gov.il/TozaotMichrazim/resultsDetailed.aspx?id=84693&amp;rc=155&amp;tr=674" TargetMode="External"/><Relationship Id="rId1872" Type="http://schemas.openxmlformats.org/officeDocument/2006/relationships/hyperlink" Target="http://www.land.gov.il/TozaotMichrazim/resultsDetailed.aspx?id=79952&amp;rc=388&amp;tr=674" TargetMode="External"/><Relationship Id="rId2411" Type="http://schemas.openxmlformats.org/officeDocument/2006/relationships/hyperlink" Target="http://www.land.gov.il/TozaotMichrazim/resultsDetailed.aspx?id=87335&amp;rc=379&amp;tr=424" TargetMode="External"/><Relationship Id="rId2509" Type="http://schemas.openxmlformats.org/officeDocument/2006/relationships/hyperlink" Target="http://www.land.gov.il/TozaotMichrazim/resultsDetailed.aspx?id=71349&amp;rc=61&amp;tr=87" TargetMode="External"/><Relationship Id="rId2716" Type="http://schemas.openxmlformats.org/officeDocument/2006/relationships/control" Target="../activeX/activeX177.xml"/><Relationship Id="rId1220" Type="http://schemas.openxmlformats.org/officeDocument/2006/relationships/hyperlink" Target="http://www.land.gov.il/TozaotMichrazim/resultsDetailed.aspx?id=83170&amp;rc=1269&amp;tr=1693" TargetMode="External"/><Relationship Id="rId1318" Type="http://schemas.openxmlformats.org/officeDocument/2006/relationships/hyperlink" Target="http://www.land.gov.il/TozaotMichrazim/resultsDetailed.aspx?id=77163&amp;rc=1371&amp;tr=1693" TargetMode="External"/><Relationship Id="rId1525" Type="http://schemas.openxmlformats.org/officeDocument/2006/relationships/hyperlink" Target="http://www.land.gov.il/TozaotMichrazim/resultsDetailed.aspx?id=86421&amp;rc=12&amp;tr=674" TargetMode="External"/><Relationship Id="rId1732" Type="http://schemas.openxmlformats.org/officeDocument/2006/relationships/hyperlink" Target="http://www.land.gov.il/TozaotMichrazim/resultsDetailed.aspx?id=81312&amp;rc=245&amp;tr=674" TargetMode="External"/><Relationship Id="rId24" Type="http://schemas.openxmlformats.org/officeDocument/2006/relationships/hyperlink" Target="http://www.land.gov.il/TozaotMichrazim/resultsDetailed.aspx?id=84607&amp;rc=18&amp;tr=685" TargetMode="External"/><Relationship Id="rId2299" Type="http://schemas.openxmlformats.org/officeDocument/2006/relationships/hyperlink" Target="http://www.land.gov.il/TozaotMichrazim/resultsDetailed.aspx?id=87668&amp;rc=246&amp;tr=424" TargetMode="External"/><Relationship Id="rId173" Type="http://schemas.openxmlformats.org/officeDocument/2006/relationships/hyperlink" Target="http://www.land.gov.il/TozaotMichrazim/resultsDetailed.aspx?id=84893&amp;rc=38&amp;tr=1693" TargetMode="External"/><Relationship Id="rId380" Type="http://schemas.openxmlformats.org/officeDocument/2006/relationships/hyperlink" Target="http://www.land.gov.il/TozaotMichrazim/resultsDetailed.aspx?id=85106&amp;rc=251&amp;tr=1693" TargetMode="External"/><Relationship Id="rId2061" Type="http://schemas.openxmlformats.org/officeDocument/2006/relationships/hyperlink" Target="http://www.land.gov.il/TozaotMichrazim/resultsDetailed.aspx?id=87120&amp;rc=2&amp;tr=115" TargetMode="External"/><Relationship Id="rId240" Type="http://schemas.openxmlformats.org/officeDocument/2006/relationships/hyperlink" Target="http://www.land.gov.il/TozaotMichrazim/resultsDetailed.aspx?id=84962&amp;rc=107&amp;tr=1693" TargetMode="External"/><Relationship Id="rId478" Type="http://schemas.openxmlformats.org/officeDocument/2006/relationships/hyperlink" Target="http://www.land.gov.il/TozaotMichrazim/resultsDetailed.aspx?id=85214&amp;rc=359&amp;tr=1693" TargetMode="External"/><Relationship Id="rId685" Type="http://schemas.openxmlformats.org/officeDocument/2006/relationships/hyperlink" Target="http://www.land.gov.il/TozaotMichrazim/resultsDetailed.aspx?id=85471&amp;rc=616&amp;tr=1693" TargetMode="External"/><Relationship Id="rId892" Type="http://schemas.openxmlformats.org/officeDocument/2006/relationships/hyperlink" Target="http://www.land.gov.il/TozaotMichrazim/resultsDetailed.aspx?id=82781&amp;rc=880&amp;tr=1693" TargetMode="External"/><Relationship Id="rId2159" Type="http://schemas.openxmlformats.org/officeDocument/2006/relationships/hyperlink" Target="http://www.land.gov.il/IturTabot2/taba2.aspx?tbMerchav=107&amp;tbMsTochnit=3/140/03/9" TargetMode="External"/><Relationship Id="rId2366" Type="http://schemas.openxmlformats.org/officeDocument/2006/relationships/hyperlink" Target="http://www.land.gov.il/TozaotMichrazim/resultsDetailed.aspx?id=87735&amp;rc=313&amp;tr=424" TargetMode="External"/><Relationship Id="rId2573" Type="http://schemas.openxmlformats.org/officeDocument/2006/relationships/control" Target="../activeX/activeX34.xml"/><Relationship Id="rId2780" Type="http://schemas.openxmlformats.org/officeDocument/2006/relationships/control" Target="../activeX/activeX241.xml"/><Relationship Id="rId100" Type="http://schemas.openxmlformats.org/officeDocument/2006/relationships/hyperlink" Target="http://www.land.gov.il/TozaotMichrazim/resultsDetailed.aspx?id=84683&amp;rc=94&amp;tr=685" TargetMode="External"/><Relationship Id="rId338" Type="http://schemas.openxmlformats.org/officeDocument/2006/relationships/hyperlink" Target="http://www.land.gov.il/TozaotMichrazim/resultsDetailed.aspx?id=85064&amp;rc=209&amp;tr=1693" TargetMode="External"/><Relationship Id="rId545" Type="http://schemas.openxmlformats.org/officeDocument/2006/relationships/hyperlink" Target="http://www.land.gov.il/TozaotMichrazim/resultsDetailed.aspx?id=85300&amp;rc=445&amp;tr=1693" TargetMode="External"/><Relationship Id="rId752" Type="http://schemas.openxmlformats.org/officeDocument/2006/relationships/hyperlink" Target="http://www.land.gov.il/TozaotMichrazim/resultsDetailed.aspx?id=85562&amp;rc=707&amp;tr=1693" TargetMode="External"/><Relationship Id="rId1175" Type="http://schemas.openxmlformats.org/officeDocument/2006/relationships/hyperlink" Target="http://www.land.gov.il/TozaotMichrazim/resultsDetailed.aspx?id=83114&amp;rc=1213&amp;tr=1693" TargetMode="External"/><Relationship Id="rId1382" Type="http://schemas.openxmlformats.org/officeDocument/2006/relationships/hyperlink" Target="http://www.land.gov.il/TozaotMichrazim/resultsDetailed.aspx?id=76283&amp;rc=1435&amp;tr=1693" TargetMode="External"/><Relationship Id="rId2019" Type="http://schemas.openxmlformats.org/officeDocument/2006/relationships/hyperlink" Target="http://www.land.gov.il/TozaotMichrazim/resultsDetailed.aspx?id=79120&amp;rc=45&amp;tr=440" TargetMode="External"/><Relationship Id="rId2226" Type="http://schemas.openxmlformats.org/officeDocument/2006/relationships/hyperlink" Target="http://www.land.gov.il/IturTabot2/taba2.aspx?tbMerchav=306&amp;tUniqueID=1&amp;sSug=23%2c24%2c26%2c72%2c21%2c20%2c62%2c31%2c41%2c25%2c22%2c13%2c61%2c32%2c73%2c40%2c9%2c12%2c60%2c71%2c70%2c67%2c68%2c69%2c30%2c50&amp;tblView=tblView_e4781b4803f2&amp;tbMsTochnit=%25u05e7/425" TargetMode="External"/><Relationship Id="rId2433" Type="http://schemas.openxmlformats.org/officeDocument/2006/relationships/hyperlink" Target="http://www.land.gov.il/TozaotMichrazim/resultsDetailed.aspx?id=87316&amp;rc=409&amp;tr=424" TargetMode="External"/><Relationship Id="rId2640" Type="http://schemas.openxmlformats.org/officeDocument/2006/relationships/control" Target="../activeX/activeX101.xml"/><Relationship Id="rId405" Type="http://schemas.openxmlformats.org/officeDocument/2006/relationships/hyperlink" Target="http://www.land.gov.il/TozaotMichrazim/resultsDetailed.aspx?id=85139&amp;rc=284&amp;tr=1693" TargetMode="External"/><Relationship Id="rId612" Type="http://schemas.openxmlformats.org/officeDocument/2006/relationships/hyperlink" Target="http://www.land.gov.il/TozaotMichrazim/resultsDetailed.aspx?id=85386&amp;rc=531&amp;tr=1693" TargetMode="External"/><Relationship Id="rId1035" Type="http://schemas.openxmlformats.org/officeDocument/2006/relationships/hyperlink" Target="http://www.land.gov.il/TozaotMichrazim/resultsDetailed.aspx?id=82949&amp;rc=1048&amp;tr=1693" TargetMode="External"/><Relationship Id="rId1242" Type="http://schemas.openxmlformats.org/officeDocument/2006/relationships/hyperlink" Target="http://www.land.gov.il/TozaotMichrazim/resultsDetailed.aspx?id=79315&amp;rc=1295&amp;tr=1693" TargetMode="External"/><Relationship Id="rId1687" Type="http://schemas.openxmlformats.org/officeDocument/2006/relationships/hyperlink" Target="http://www.land.gov.il/TozaotMichrazim/resultsDetailed.aspx?id=83832&amp;rc=195&amp;tr=674" TargetMode="External"/><Relationship Id="rId1894" Type="http://schemas.openxmlformats.org/officeDocument/2006/relationships/hyperlink" Target="http://www.land.gov.il/TozaotMichrazim/resultsDetailed.aspx?id=79390&amp;rc=410&amp;tr=674" TargetMode="External"/><Relationship Id="rId2500" Type="http://schemas.openxmlformats.org/officeDocument/2006/relationships/hyperlink" Target="http://www.land.gov.il/TozaotMichrazim/resultsDetailed.aspx?id=71527&amp;rc=52&amp;tr=87" TargetMode="External"/><Relationship Id="rId2738" Type="http://schemas.openxmlformats.org/officeDocument/2006/relationships/control" Target="../activeX/activeX199.xml"/><Relationship Id="rId917" Type="http://schemas.openxmlformats.org/officeDocument/2006/relationships/hyperlink" Target="http://www.land.gov.il/TozaotMichrazim/resultsDetailed.aspx?id=82807&amp;rc=906&amp;tr=1693" TargetMode="External"/><Relationship Id="rId1102" Type="http://schemas.openxmlformats.org/officeDocument/2006/relationships/hyperlink" Target="http://www.land.gov.il/TozaotMichrazim/resultsDetailed.aspx?id=83030&amp;rc=1129&amp;tr=1693" TargetMode="External"/><Relationship Id="rId1547" Type="http://schemas.openxmlformats.org/officeDocument/2006/relationships/hyperlink" Target="http://www.land.gov.il/TozaotMichrazim/resultsDetailed.aspx?id=86443&amp;rc=34&amp;tr=674" TargetMode="External"/><Relationship Id="rId1754" Type="http://schemas.openxmlformats.org/officeDocument/2006/relationships/hyperlink" Target="http://www.land.gov.il/TozaotMichrazim/resultsDetailed.aspx?id=81334&amp;rc=267&amp;tr=674" TargetMode="External"/><Relationship Id="rId1961" Type="http://schemas.openxmlformats.org/officeDocument/2006/relationships/hyperlink" Target="http://www.land.gov.il/TozaotMichrazim/resultsDetailed.aspx?id=76995&amp;rc=497&amp;tr=674" TargetMode="External"/><Relationship Id="rId2805" Type="http://schemas.openxmlformats.org/officeDocument/2006/relationships/control" Target="../activeX/activeX266.xml"/><Relationship Id="rId46" Type="http://schemas.openxmlformats.org/officeDocument/2006/relationships/hyperlink" Target="http://www.land.gov.il/TozaotMichrazim/resultsDetailed.aspx?id=84629&amp;rc=40&amp;tr=685" TargetMode="External"/><Relationship Id="rId1407" Type="http://schemas.openxmlformats.org/officeDocument/2006/relationships/hyperlink" Target="http://www.land.gov.il/TozaotMichrazim/resultsDetailed.aspx?id=76590&amp;rc=25&amp;tr=79" TargetMode="External"/><Relationship Id="rId1614" Type="http://schemas.openxmlformats.org/officeDocument/2006/relationships/hyperlink" Target="http://www.land.gov.il/TozaotMichrazim/resultsDetailed.aspx?id=86510&amp;rc=101&amp;tr=674" TargetMode="External"/><Relationship Id="rId1821" Type="http://schemas.openxmlformats.org/officeDocument/2006/relationships/hyperlink" Target="http://www.land.gov.il/TozaotMichrazim/resultsDetailed.aspx?id=81404&amp;rc=337&amp;tr=674" TargetMode="External"/><Relationship Id="rId195" Type="http://schemas.openxmlformats.org/officeDocument/2006/relationships/hyperlink" Target="http://www.land.gov.il/TozaotMichrazim/resultsDetailed.aspx?id=84916&amp;rc=61&amp;tr=1693" TargetMode="External"/><Relationship Id="rId1919" Type="http://schemas.openxmlformats.org/officeDocument/2006/relationships/hyperlink" Target="http://www.land.gov.il/TozaotMichrazim/resultsDetailed.aspx?id=76940&amp;rc=442&amp;tr=674" TargetMode="External"/><Relationship Id="rId2083" Type="http://schemas.openxmlformats.org/officeDocument/2006/relationships/hyperlink" Target="http://www.land.gov.il/TozaotMichrazim/resultsDetailed.aspx?id=80749&amp;rc=24&amp;tr=115" TargetMode="External"/><Relationship Id="rId2290" Type="http://schemas.openxmlformats.org/officeDocument/2006/relationships/hyperlink" Target="http://www.land.gov.il/TozaotMichrazim/resultsDetailed.aspx?id=87659&amp;rc=237&amp;tr=424" TargetMode="External"/><Relationship Id="rId2388" Type="http://schemas.openxmlformats.org/officeDocument/2006/relationships/hyperlink" Target="http://www.land.gov.il/TozaotMichrazim/resultsDetailed.aspx?id=87293&amp;rc=339&amp;tr=424" TargetMode="External"/><Relationship Id="rId2595" Type="http://schemas.openxmlformats.org/officeDocument/2006/relationships/control" Target="../activeX/activeX56.xml"/><Relationship Id="rId262" Type="http://schemas.openxmlformats.org/officeDocument/2006/relationships/hyperlink" Target="http://www.land.gov.il/TozaotMichrazim/resultsDetailed.aspx?id=84988&amp;rc=133&amp;tr=1693" TargetMode="External"/><Relationship Id="rId567" Type="http://schemas.openxmlformats.org/officeDocument/2006/relationships/hyperlink" Target="http://www.land.gov.il/TozaotMichrazim/resultsDetailed.aspx?id=85324&amp;rc=469&amp;tr=1693" TargetMode="External"/><Relationship Id="rId1197" Type="http://schemas.openxmlformats.org/officeDocument/2006/relationships/hyperlink" Target="http://www.land.gov.il/TozaotMichrazim/resultsDetailed.aspx?id=83137&amp;rc=1236&amp;tr=1693" TargetMode="External"/><Relationship Id="rId2150" Type="http://schemas.openxmlformats.org/officeDocument/2006/relationships/hyperlink" Target="http://www.land.gov.il/shivukweb/pages/Prj_neotafek.html" TargetMode="External"/><Relationship Id="rId2248" Type="http://schemas.openxmlformats.org/officeDocument/2006/relationships/hyperlink" Target="http://www.land.gov.il/TozaotMichrazim/resultsDetailed.aspx?id=87852&amp;rc=32&amp;tr=424" TargetMode="External"/><Relationship Id="rId122" Type="http://schemas.openxmlformats.org/officeDocument/2006/relationships/hyperlink" Target="http://www.land.gov.il/TozaotMichrazim/resultsDetailed.aspx?id=80766&amp;rc=116&amp;tr=685" TargetMode="External"/><Relationship Id="rId774" Type="http://schemas.openxmlformats.org/officeDocument/2006/relationships/hyperlink" Target="http://www.land.gov.il/TozaotMichrazim/resultsDetailed.aspx?id=82633&amp;rc=732&amp;tr=1693" TargetMode="External"/><Relationship Id="rId981" Type="http://schemas.openxmlformats.org/officeDocument/2006/relationships/hyperlink" Target="http://www.land.gov.il/TozaotMichrazim/resultsDetailed.aspx?id=82885&amp;rc=984&amp;tr=1693" TargetMode="External"/><Relationship Id="rId1057" Type="http://schemas.openxmlformats.org/officeDocument/2006/relationships/hyperlink" Target="http://www.land.gov.il/TozaotMichrazim/resultsDetailed.aspx?id=82976&amp;rc=1075&amp;tr=1693" TargetMode="External"/><Relationship Id="rId2010" Type="http://schemas.openxmlformats.org/officeDocument/2006/relationships/hyperlink" Target="http://www.land.gov.il/TozaotMichrazim/resultsDetailed.aspx?id=81172&amp;rc=36&amp;tr=440" TargetMode="External"/><Relationship Id="rId2455" Type="http://schemas.openxmlformats.org/officeDocument/2006/relationships/hyperlink" Target="http://www.land.gov.il/TozaotMichrazim/resultsDetailed.aspx?id=85579&amp;rc=7&amp;tr=87" TargetMode="External"/><Relationship Id="rId2662" Type="http://schemas.openxmlformats.org/officeDocument/2006/relationships/control" Target="../activeX/activeX123.xml"/><Relationship Id="rId427" Type="http://schemas.openxmlformats.org/officeDocument/2006/relationships/hyperlink" Target="http://www.land.gov.il/TozaotMichrazim/resultsDetailed.aspx?id=85163&amp;rc=308&amp;tr=1693" TargetMode="External"/><Relationship Id="rId634" Type="http://schemas.openxmlformats.org/officeDocument/2006/relationships/hyperlink" Target="http://www.land.gov.il/TozaotMichrazim/resultsDetailed.aspx?id=85413&amp;rc=558&amp;tr=1693" TargetMode="External"/><Relationship Id="rId841" Type="http://schemas.openxmlformats.org/officeDocument/2006/relationships/hyperlink" Target="http://www.land.gov.il/TozaotMichrazim/resultsDetailed.aspx?id=82728&amp;rc=827&amp;tr=1693" TargetMode="External"/><Relationship Id="rId1264" Type="http://schemas.openxmlformats.org/officeDocument/2006/relationships/hyperlink" Target="http://www.land.gov.il/TozaotMichrazim/resultsDetailed.aspx?id=79337&amp;rc=1317&amp;tr=1693" TargetMode="External"/><Relationship Id="rId1471" Type="http://schemas.openxmlformats.org/officeDocument/2006/relationships/hyperlink" Target="http://www.land.gov.il/TozaotMichrazim/resultsDetailed.aspx?id=81691&amp;rc=60&amp;tr=421" TargetMode="External"/><Relationship Id="rId1569" Type="http://schemas.openxmlformats.org/officeDocument/2006/relationships/hyperlink" Target="http://www.land.gov.il/TozaotMichrazim/resultsDetailed.aspx?id=86465&amp;rc=56&amp;tr=674" TargetMode="External"/><Relationship Id="rId2108" Type="http://schemas.openxmlformats.org/officeDocument/2006/relationships/hyperlink" Target="http://www.land.gov.il/TozaotMichrazim/resultsDetailed.aspx?id=78036&amp;rc=24&amp;tr=100" TargetMode="External"/><Relationship Id="rId2315" Type="http://schemas.openxmlformats.org/officeDocument/2006/relationships/hyperlink" Target="http://www.land.gov.il/TozaotMichrazim/resultsDetailed.aspx?id=87684&amp;rc=262&amp;tr=424" TargetMode="External"/><Relationship Id="rId2522" Type="http://schemas.openxmlformats.org/officeDocument/2006/relationships/hyperlink" Target="http://www.land.gov.il/TozaotMichrazim/resultsDetailed.aspx?id=68502&amp;rc=74&amp;tr=87" TargetMode="External"/><Relationship Id="rId701" Type="http://schemas.openxmlformats.org/officeDocument/2006/relationships/hyperlink" Target="http://www.land.gov.il/TozaotMichrazim/resultsDetailed.aspx?id=85490&amp;rc=635&amp;tr=1693" TargetMode="External"/><Relationship Id="rId939" Type="http://schemas.openxmlformats.org/officeDocument/2006/relationships/hyperlink" Target="http://www.land.gov.il/TozaotMichrazim/resultsDetailed.aspx?id=82832&amp;rc=931&amp;tr=1693" TargetMode="External"/><Relationship Id="rId1124" Type="http://schemas.openxmlformats.org/officeDocument/2006/relationships/hyperlink" Target="http://www.land.gov.il/TozaotMichrazim/resultsDetailed.aspx?id=83055&amp;rc=1154&amp;tr=1693" TargetMode="External"/><Relationship Id="rId1331" Type="http://schemas.openxmlformats.org/officeDocument/2006/relationships/hyperlink" Target="http://www.land.gov.il/TozaotMichrazim/resultsDetailed.aspx?id=76232&amp;rc=1384&amp;tr=1693" TargetMode="External"/><Relationship Id="rId1776" Type="http://schemas.openxmlformats.org/officeDocument/2006/relationships/hyperlink" Target="http://www.land.gov.il/TozaotMichrazim/resultsDetailed.aspx?id=81357&amp;rc=290&amp;tr=674" TargetMode="External"/><Relationship Id="rId1983" Type="http://schemas.openxmlformats.org/officeDocument/2006/relationships/hyperlink" Target="http://www.land.gov.il/TozaotMichrazim/resultsDetailed.aspx?id=86724&amp;rc=4&amp;tr=440" TargetMode="External"/><Relationship Id="rId68" Type="http://schemas.openxmlformats.org/officeDocument/2006/relationships/hyperlink" Target="http://www.land.gov.il/TozaotMichrazim/resultsDetailed.aspx?id=84651&amp;rc=62&amp;tr=685" TargetMode="External"/><Relationship Id="rId1429" Type="http://schemas.openxmlformats.org/officeDocument/2006/relationships/hyperlink" Target="http://www.land.gov.il/TozaotMichrazim/resultsDetailed.aspx?id=87242&amp;rc=16&amp;tr=421" TargetMode="External"/><Relationship Id="rId1636" Type="http://schemas.openxmlformats.org/officeDocument/2006/relationships/hyperlink" Target="http://www.land.gov.il/TozaotMichrazim/resultsDetailed.aspx?id=86532&amp;rc=123&amp;tr=674" TargetMode="External"/><Relationship Id="rId1843" Type="http://schemas.openxmlformats.org/officeDocument/2006/relationships/hyperlink" Target="http://www.land.gov.il/TozaotMichrazim/resultsDetailed.aspx?id=79923&amp;rc=359&amp;tr=674" TargetMode="External"/><Relationship Id="rId1703" Type="http://schemas.openxmlformats.org/officeDocument/2006/relationships/hyperlink" Target="http://www.land.gov.il/TozaotMichrazim/resultsDetailed.aspx?id=81279&amp;rc=212&amp;tr=674" TargetMode="External"/><Relationship Id="rId1910" Type="http://schemas.openxmlformats.org/officeDocument/2006/relationships/hyperlink" Target="http://www.land.gov.il/TozaotMichrazim/resultsDetailed.aspx?id=79152&amp;rc=426&amp;tr=674" TargetMode="External"/><Relationship Id="rId284" Type="http://schemas.openxmlformats.org/officeDocument/2006/relationships/hyperlink" Target="http://www.land.gov.il/TozaotMichrazim/resultsDetailed.aspx?id=85010&amp;rc=155&amp;tr=1693" TargetMode="External"/><Relationship Id="rId491" Type="http://schemas.openxmlformats.org/officeDocument/2006/relationships/hyperlink" Target="http://www.land.gov.il/TozaotMichrazim/resultsDetailed.aspx?id=85229&amp;rc=374&amp;tr=1693" TargetMode="External"/><Relationship Id="rId2172" Type="http://schemas.openxmlformats.org/officeDocument/2006/relationships/hyperlink" Target="http://www.land.gov.il/PirsumMichrazim/Aspx/pirsumDetails.aspx?id=3792016%E7%E9&amp;rc=2&amp;tr=3" TargetMode="External"/><Relationship Id="rId144" Type="http://schemas.openxmlformats.org/officeDocument/2006/relationships/hyperlink" Target="http://www.land.gov.il/TozaotMichrazim/resultsDetailed.aspx?id=76559&amp;rc=146&amp;tr=685" TargetMode="External"/><Relationship Id="rId589" Type="http://schemas.openxmlformats.org/officeDocument/2006/relationships/hyperlink" Target="http://www.land.gov.il/TozaotMichrazim/resultsDetailed.aspx?id=85348&amp;rc=493&amp;tr=1693" TargetMode="External"/><Relationship Id="rId796" Type="http://schemas.openxmlformats.org/officeDocument/2006/relationships/hyperlink" Target="http://www.land.gov.il/TozaotMichrazim/resultsDetailed.aspx?id=82663&amp;rc=762&amp;tr=1693" TargetMode="External"/><Relationship Id="rId2477" Type="http://schemas.openxmlformats.org/officeDocument/2006/relationships/hyperlink" Target="http://www.land.gov.il/TozaotMichrazim/resultsDetailed.aspx?id=81754&amp;rc=29&amp;tr=87" TargetMode="External"/><Relationship Id="rId2684" Type="http://schemas.openxmlformats.org/officeDocument/2006/relationships/control" Target="../activeX/activeX145.xml"/><Relationship Id="rId351" Type="http://schemas.openxmlformats.org/officeDocument/2006/relationships/hyperlink" Target="http://www.land.gov.il/TozaotMichrazim/resultsDetailed.aspx?id=85077&amp;rc=222&amp;tr=1693" TargetMode="External"/><Relationship Id="rId449" Type="http://schemas.openxmlformats.org/officeDocument/2006/relationships/hyperlink" Target="http://www.land.gov.il/TozaotMichrazim/resultsDetailed.aspx?id=85185&amp;rc=330&amp;tr=1693" TargetMode="External"/><Relationship Id="rId656" Type="http://schemas.openxmlformats.org/officeDocument/2006/relationships/hyperlink" Target="http://www.land.gov.il/TozaotMichrazim/resultsDetailed.aspx?id=85439&amp;rc=584&amp;tr=1693" TargetMode="External"/><Relationship Id="rId863" Type="http://schemas.openxmlformats.org/officeDocument/2006/relationships/hyperlink" Target="http://www.land.gov.il/TozaotMichrazim/resultsDetailed.aspx?id=82751&amp;rc=850&amp;tr=1693" TargetMode="External"/><Relationship Id="rId1079" Type="http://schemas.openxmlformats.org/officeDocument/2006/relationships/hyperlink" Target="http://www.land.gov.il/TozaotMichrazim/resultsDetailed.aspx?id=83005&amp;rc=1104&amp;tr=1693" TargetMode="External"/><Relationship Id="rId1286" Type="http://schemas.openxmlformats.org/officeDocument/2006/relationships/hyperlink" Target="http://www.land.gov.il/TozaotMichrazim/resultsDetailed.aspx?id=79359&amp;rc=1339&amp;tr=1693" TargetMode="External"/><Relationship Id="rId1493" Type="http://schemas.openxmlformats.org/officeDocument/2006/relationships/hyperlink" Target="http://www.land.gov.il/TozaotMichrazim/resultsDetailed.aspx?id=80127&amp;rc=89&amp;tr=421" TargetMode="External"/><Relationship Id="rId2032" Type="http://schemas.openxmlformats.org/officeDocument/2006/relationships/hyperlink" Target="http://www.land.gov.il/TozaotMichrazim/resultsDetailed.aspx?id=79133&amp;rc=58&amp;tr=440" TargetMode="External"/><Relationship Id="rId2337" Type="http://schemas.openxmlformats.org/officeDocument/2006/relationships/hyperlink" Target="http://www.land.gov.il/TozaotMichrazim/resultsDetailed.aspx?id=87706&amp;rc=284&amp;tr=424" TargetMode="External"/><Relationship Id="rId2544" Type="http://schemas.openxmlformats.org/officeDocument/2006/relationships/control" Target="../activeX/activeX5.xml"/><Relationship Id="rId211" Type="http://schemas.openxmlformats.org/officeDocument/2006/relationships/hyperlink" Target="http://www.land.gov.il/TozaotMichrazim/resultsDetailed.aspx?id=84932&amp;rc=77&amp;tr=1693" TargetMode="External"/><Relationship Id="rId309" Type="http://schemas.openxmlformats.org/officeDocument/2006/relationships/hyperlink" Target="http://www.land.gov.il/TozaotMichrazim/resultsDetailed.aspx?id=85035&amp;rc=180&amp;tr=1693" TargetMode="External"/><Relationship Id="rId516" Type="http://schemas.openxmlformats.org/officeDocument/2006/relationships/hyperlink" Target="http://www.land.gov.il/TozaotMichrazim/resultsDetailed.aspx?id=85265&amp;rc=410&amp;tr=1693" TargetMode="External"/><Relationship Id="rId1146" Type="http://schemas.openxmlformats.org/officeDocument/2006/relationships/hyperlink" Target="http://www.land.gov.il/TozaotMichrazim/resultsDetailed.aspx?id=83079&amp;rc=1178&amp;tr=1693" TargetMode="External"/><Relationship Id="rId1798" Type="http://schemas.openxmlformats.org/officeDocument/2006/relationships/hyperlink" Target="http://www.land.gov.il/TozaotMichrazim/resultsDetailed.aspx?id=81381&amp;rc=314&amp;tr=674" TargetMode="External"/><Relationship Id="rId2751" Type="http://schemas.openxmlformats.org/officeDocument/2006/relationships/control" Target="../activeX/activeX212.xml"/><Relationship Id="rId723" Type="http://schemas.openxmlformats.org/officeDocument/2006/relationships/hyperlink" Target="http://www.land.gov.il/TozaotMichrazim/resultsDetailed.aspx?id=85515&amp;rc=660&amp;tr=1693" TargetMode="External"/><Relationship Id="rId930" Type="http://schemas.openxmlformats.org/officeDocument/2006/relationships/hyperlink" Target="http://www.land.gov.il/TozaotMichrazim/resultsDetailed.aspx?id=82821&amp;rc=920&amp;tr=1693" TargetMode="External"/><Relationship Id="rId1006" Type="http://schemas.openxmlformats.org/officeDocument/2006/relationships/hyperlink" Target="http://www.land.gov.il/TozaotMichrazim/resultsDetailed.aspx?id=82916&amp;rc=1015&amp;tr=1693" TargetMode="External"/><Relationship Id="rId1353" Type="http://schemas.openxmlformats.org/officeDocument/2006/relationships/hyperlink" Target="http://www.land.gov.il/TozaotMichrazim/resultsDetailed.aspx?id=76254&amp;rc=1406&amp;tr=1693" TargetMode="External"/><Relationship Id="rId1560" Type="http://schemas.openxmlformats.org/officeDocument/2006/relationships/hyperlink" Target="http://www.land.gov.il/TozaotMichrazim/resultsDetailed.aspx?id=86456&amp;rc=47&amp;tr=674" TargetMode="External"/><Relationship Id="rId1658" Type="http://schemas.openxmlformats.org/officeDocument/2006/relationships/hyperlink" Target="http://www.land.gov.il/TozaotMichrazim/resultsDetailed.aspx?id=86390&amp;rc=145&amp;tr=674" TargetMode="External"/><Relationship Id="rId1865" Type="http://schemas.openxmlformats.org/officeDocument/2006/relationships/hyperlink" Target="http://www.land.gov.il/TozaotMichrazim/resultsDetailed.aspx?id=79945&amp;rc=381&amp;tr=674" TargetMode="External"/><Relationship Id="rId2404" Type="http://schemas.openxmlformats.org/officeDocument/2006/relationships/hyperlink" Target="http://www.land.gov.il/TozaotMichrazim/resultsDetailed.aspx?id=87309&amp;rc=355&amp;tr=424" TargetMode="External"/><Relationship Id="rId2611" Type="http://schemas.openxmlformats.org/officeDocument/2006/relationships/control" Target="../activeX/activeX72.xml"/><Relationship Id="rId2709" Type="http://schemas.openxmlformats.org/officeDocument/2006/relationships/control" Target="../activeX/activeX170.xml"/><Relationship Id="rId1213" Type="http://schemas.openxmlformats.org/officeDocument/2006/relationships/hyperlink" Target="http://www.land.gov.il/TozaotMichrazim/resultsDetailed.aspx?id=83155&amp;rc=1254&amp;tr=1693" TargetMode="External"/><Relationship Id="rId1420" Type="http://schemas.openxmlformats.org/officeDocument/2006/relationships/hyperlink" Target="http://www.land.gov.il/TozaotMichrazim/resultsDetailed.aspx?id=87233&amp;rc=7&amp;tr=421" TargetMode="External"/><Relationship Id="rId1518" Type="http://schemas.openxmlformats.org/officeDocument/2006/relationships/hyperlink" Target="http://www.land.gov.il/TozaotMichrazim/resultsDetailed.aspx?id=86414&amp;rc=5&amp;tr=674" TargetMode="External"/><Relationship Id="rId1725" Type="http://schemas.openxmlformats.org/officeDocument/2006/relationships/hyperlink" Target="http://www.land.gov.il/TozaotMichrazim/resultsDetailed.aspx?id=81304&amp;rc=237&amp;tr=674" TargetMode="External"/><Relationship Id="rId1932" Type="http://schemas.openxmlformats.org/officeDocument/2006/relationships/hyperlink" Target="http://www.land.gov.il/TozaotMichrazim/resultsDetailed.aspx?id=76963&amp;rc=465&amp;tr=674" TargetMode="External"/><Relationship Id="rId17" Type="http://schemas.openxmlformats.org/officeDocument/2006/relationships/hyperlink" Target="http://www.land.gov.il/TozaotMichrazim/resultsDetailed.aspx?id=84739&amp;rc=11&amp;tr=685" TargetMode="External"/><Relationship Id="rId2194" Type="http://schemas.openxmlformats.org/officeDocument/2006/relationships/hyperlink" Target="http://www.land.gov.il/PirsumMichrazim/Aspx/pirsumDetails.aspx?id=3342014%E1%F9&amp;rc=28&amp;tr=196" TargetMode="External"/><Relationship Id="rId166" Type="http://schemas.openxmlformats.org/officeDocument/2006/relationships/hyperlink" Target="http://www.land.gov.il/TozaotMichrazim/resultsDetailed.aspx?id=84886&amp;rc=31&amp;tr=1693" TargetMode="External"/><Relationship Id="rId373" Type="http://schemas.openxmlformats.org/officeDocument/2006/relationships/hyperlink" Target="http://www.land.gov.il/TozaotMichrazim/resultsDetailed.aspx?id=85099&amp;rc=244&amp;tr=1693" TargetMode="External"/><Relationship Id="rId580" Type="http://schemas.openxmlformats.org/officeDocument/2006/relationships/hyperlink" Target="http://www.land.gov.il/TozaotMichrazim/resultsDetailed.aspx?id=85339&amp;rc=484&amp;tr=1693" TargetMode="External"/><Relationship Id="rId2054" Type="http://schemas.openxmlformats.org/officeDocument/2006/relationships/hyperlink" Target="http://www.land.gov.il/TozaotMichrazim/resultsDetailed.aspx?id=84744&amp;rc=3&amp;tr=177" TargetMode="External"/><Relationship Id="rId2261" Type="http://schemas.openxmlformats.org/officeDocument/2006/relationships/hyperlink" Target="http://www.land.gov.il/TozaotMichrazim/resultsDetailed.aspx?id=87766&amp;rc=206&amp;tr=424" TargetMode="External"/><Relationship Id="rId2499" Type="http://schemas.openxmlformats.org/officeDocument/2006/relationships/hyperlink" Target="http://www.land.gov.il/TozaotMichrazim/resultsDetailed.aspx?id=71526&amp;rc=51&amp;tr=87" TargetMode="External"/><Relationship Id="rId1" Type="http://schemas.openxmlformats.org/officeDocument/2006/relationships/hyperlink" Target="http://www.themarker.com/realestate/1.3915898" TargetMode="External"/><Relationship Id="rId233" Type="http://schemas.openxmlformats.org/officeDocument/2006/relationships/hyperlink" Target="http://www.land.gov.il/TozaotMichrazim/resultsDetailed.aspx?id=84954&amp;rc=99&amp;tr=1693" TargetMode="External"/><Relationship Id="rId440" Type="http://schemas.openxmlformats.org/officeDocument/2006/relationships/hyperlink" Target="http://www.land.gov.il/TozaotMichrazim/resultsDetailed.aspx?id=85176&amp;rc=321&amp;tr=1693" TargetMode="External"/><Relationship Id="rId678" Type="http://schemas.openxmlformats.org/officeDocument/2006/relationships/hyperlink" Target="http://www.land.gov.il/TozaotMichrazim/resultsDetailed.aspx?id=85464&amp;rc=609&amp;tr=1693" TargetMode="External"/><Relationship Id="rId885" Type="http://schemas.openxmlformats.org/officeDocument/2006/relationships/hyperlink" Target="http://www.land.gov.il/TozaotMichrazim/resultsDetailed.aspx?id=82774&amp;rc=873&amp;tr=1693" TargetMode="External"/><Relationship Id="rId1070" Type="http://schemas.openxmlformats.org/officeDocument/2006/relationships/hyperlink" Target="http://www.land.gov.il/TozaotMichrazim/resultsDetailed.aspx?id=82992&amp;rc=1091&amp;tr=1693" TargetMode="External"/><Relationship Id="rId2121" Type="http://schemas.openxmlformats.org/officeDocument/2006/relationships/hyperlink" Target="http://www.land.gov.il/IturTabot2/taba2.aspx?tbMerchav=407&amp;tUniqueID=0&amp;sSug=23%2c24%2c26%2c72%2c21%2c20%2c62%2c31%2c41%2c25%2c22%2c13%2c61%2c32%2c40%2c9%2c12%2c60%2c71%2c70%2c67%2c68%2c69%2c30%2c50&amp;tblView=tblView_5d2dd49555ae&amp;tbMsTochnit=%25u05d9%25u05d1/1/255" TargetMode="External"/><Relationship Id="rId2359" Type="http://schemas.openxmlformats.org/officeDocument/2006/relationships/hyperlink" Target="http://www.land.gov.il/TozaotMichrazim/resultsDetailed.aspx?id=87728&amp;rc=306&amp;tr=424" TargetMode="External"/><Relationship Id="rId2566" Type="http://schemas.openxmlformats.org/officeDocument/2006/relationships/control" Target="../activeX/activeX27.xml"/><Relationship Id="rId2773" Type="http://schemas.openxmlformats.org/officeDocument/2006/relationships/control" Target="../activeX/activeX234.xml"/><Relationship Id="rId300" Type="http://schemas.openxmlformats.org/officeDocument/2006/relationships/hyperlink" Target="http://www.land.gov.il/TozaotMichrazim/resultsDetailed.aspx?id=85026&amp;rc=171&amp;tr=1693" TargetMode="External"/><Relationship Id="rId538" Type="http://schemas.openxmlformats.org/officeDocument/2006/relationships/hyperlink" Target="http://www.land.gov.il/TozaotMichrazim/resultsDetailed.aspx?id=85290&amp;rc=435&amp;tr=1693" TargetMode="External"/><Relationship Id="rId745" Type="http://schemas.openxmlformats.org/officeDocument/2006/relationships/hyperlink" Target="http://www.land.gov.il/TozaotMichrazim/resultsDetailed.aspx?id=85554&amp;rc=699&amp;tr=1693" TargetMode="External"/><Relationship Id="rId952" Type="http://schemas.openxmlformats.org/officeDocument/2006/relationships/hyperlink" Target="http://www.land.gov.il/TozaotMichrazim/resultsDetailed.aspx?id=82846&amp;rc=945&amp;tr=1693" TargetMode="External"/><Relationship Id="rId1168" Type="http://schemas.openxmlformats.org/officeDocument/2006/relationships/hyperlink" Target="http://www.land.gov.il/TozaotMichrazim/resultsDetailed.aspx?id=83107&amp;rc=1206&amp;tr=1693" TargetMode="External"/><Relationship Id="rId1375" Type="http://schemas.openxmlformats.org/officeDocument/2006/relationships/hyperlink" Target="http://www.land.gov.il/TozaotMichrazim/resultsDetailed.aspx?id=76276&amp;rc=1428&amp;tr=1693" TargetMode="External"/><Relationship Id="rId1582" Type="http://schemas.openxmlformats.org/officeDocument/2006/relationships/hyperlink" Target="http://www.land.gov.il/TozaotMichrazim/resultsDetailed.aspx?id=86478&amp;rc=69&amp;tr=674" TargetMode="External"/><Relationship Id="rId2219" Type="http://schemas.openxmlformats.org/officeDocument/2006/relationships/hyperlink" Target="http://land.gov.il/TozaotMichrazim/Results.aspx?NewSearch=true&amp;ynmichraz=2013&amp;anMichraz=%e7%e9&amp;Nnmichraz=325" TargetMode="External"/><Relationship Id="rId2426" Type="http://schemas.openxmlformats.org/officeDocument/2006/relationships/hyperlink" Target="http://www.land.gov.il/TozaotMichrazim/resultsDetailed.aspx?id=87258&amp;rc=395&amp;tr=424" TargetMode="External"/><Relationship Id="rId2633" Type="http://schemas.openxmlformats.org/officeDocument/2006/relationships/control" Target="../activeX/activeX94.xml"/><Relationship Id="rId81" Type="http://schemas.openxmlformats.org/officeDocument/2006/relationships/hyperlink" Target="http://www.land.gov.il/TozaotMichrazim/resultsDetailed.aspx?id=84664&amp;rc=75&amp;tr=685" TargetMode="External"/><Relationship Id="rId605" Type="http://schemas.openxmlformats.org/officeDocument/2006/relationships/hyperlink" Target="http://www.land.gov.il/TozaotMichrazim/resultsDetailed.aspx?id=85377&amp;rc=522&amp;tr=1693" TargetMode="External"/><Relationship Id="rId812" Type="http://schemas.openxmlformats.org/officeDocument/2006/relationships/hyperlink" Target="http://www.land.gov.il/TozaotMichrazim/resultsDetailed.aspx?id=82687&amp;rc=786&amp;tr=1693" TargetMode="External"/><Relationship Id="rId1028" Type="http://schemas.openxmlformats.org/officeDocument/2006/relationships/hyperlink" Target="http://www.land.gov.il/TozaotMichrazim/resultsDetailed.aspx?id=82940&amp;rc=1039&amp;tr=1693" TargetMode="External"/><Relationship Id="rId1235" Type="http://schemas.openxmlformats.org/officeDocument/2006/relationships/hyperlink" Target="http://www.land.gov.il/TozaotMichrazim/resultsDetailed.aspx?id=81910&amp;rc=1286&amp;tr=1693" TargetMode="External"/><Relationship Id="rId1442" Type="http://schemas.openxmlformats.org/officeDocument/2006/relationships/hyperlink" Target="http://www.land.gov.il/TozaotMichrazim/resultsDetailed.aspx?id=87255&amp;rc=29&amp;tr=421" TargetMode="External"/><Relationship Id="rId1887" Type="http://schemas.openxmlformats.org/officeDocument/2006/relationships/hyperlink" Target="http://www.land.gov.il/TozaotMichrazim/resultsDetailed.aspx?id=79383&amp;rc=403&amp;tr=674" TargetMode="External"/><Relationship Id="rId1302" Type="http://schemas.openxmlformats.org/officeDocument/2006/relationships/hyperlink" Target="http://www.land.gov.il/TozaotMichrazim/resultsDetailed.aspx?id=78778&amp;rc=1355&amp;tr=1693" TargetMode="External"/><Relationship Id="rId1747" Type="http://schemas.openxmlformats.org/officeDocument/2006/relationships/hyperlink" Target="http://www.land.gov.il/TozaotMichrazim/resultsDetailed.aspx?id=81327&amp;rc=260&amp;tr=674" TargetMode="External"/><Relationship Id="rId1954" Type="http://schemas.openxmlformats.org/officeDocument/2006/relationships/hyperlink" Target="http://www.land.gov.il/TozaotMichrazim/resultsDetailed.aspx?id=76988&amp;rc=490&amp;tr=674" TargetMode="External"/><Relationship Id="rId2700" Type="http://schemas.openxmlformats.org/officeDocument/2006/relationships/control" Target="../activeX/activeX161.xml"/><Relationship Id="rId39" Type="http://schemas.openxmlformats.org/officeDocument/2006/relationships/hyperlink" Target="http://www.land.gov.il/TozaotMichrazim/resultsDetailed.aspx?id=84622&amp;rc=33&amp;tr=685" TargetMode="External"/><Relationship Id="rId1607" Type="http://schemas.openxmlformats.org/officeDocument/2006/relationships/hyperlink" Target="http://www.land.gov.il/TozaotMichrazim/resultsDetailed.aspx?id=86503&amp;rc=94&amp;tr=674" TargetMode="External"/><Relationship Id="rId1814" Type="http://schemas.openxmlformats.org/officeDocument/2006/relationships/hyperlink" Target="http://www.land.gov.il/TozaotMichrazim/resultsDetailed.aspx?id=81397&amp;rc=330&amp;tr=674" TargetMode="External"/><Relationship Id="rId188" Type="http://schemas.openxmlformats.org/officeDocument/2006/relationships/hyperlink" Target="http://www.land.gov.il/TozaotMichrazim/resultsDetailed.aspx?id=84909&amp;rc=54&amp;tr=1693" TargetMode="External"/><Relationship Id="rId395" Type="http://schemas.openxmlformats.org/officeDocument/2006/relationships/hyperlink" Target="http://www.land.gov.il/TozaotMichrazim/resultsDetailed.aspx?id=85122&amp;rc=267&amp;tr=1693" TargetMode="External"/><Relationship Id="rId2076" Type="http://schemas.openxmlformats.org/officeDocument/2006/relationships/hyperlink" Target="http://www.land.gov.il/TozaotMichrazim/resultsDetailed.aspx?id=87057&amp;rc=17&amp;tr=115" TargetMode="External"/><Relationship Id="rId2283" Type="http://schemas.openxmlformats.org/officeDocument/2006/relationships/hyperlink" Target="http://www.land.gov.il/TozaotMichrazim/resultsDetailed.aspx?id=87652&amp;rc=230&amp;tr=424" TargetMode="External"/><Relationship Id="rId2490" Type="http://schemas.openxmlformats.org/officeDocument/2006/relationships/hyperlink" Target="http://www.land.gov.il/TozaotMichrazim/resultsDetailed.aspx?id=73461&amp;rc=42&amp;tr=87" TargetMode="External"/><Relationship Id="rId2588" Type="http://schemas.openxmlformats.org/officeDocument/2006/relationships/control" Target="../activeX/activeX49.xml"/><Relationship Id="rId255" Type="http://schemas.openxmlformats.org/officeDocument/2006/relationships/hyperlink" Target="http://www.land.gov.il/TozaotMichrazim/resultsDetailed.aspx?id=84981&amp;rc=126&amp;tr=1693" TargetMode="External"/><Relationship Id="rId462" Type="http://schemas.openxmlformats.org/officeDocument/2006/relationships/hyperlink" Target="http://www.land.gov.il/TozaotMichrazim/resultsDetailed.aspx?id=85198&amp;rc=343&amp;tr=1693" TargetMode="External"/><Relationship Id="rId1092" Type="http://schemas.openxmlformats.org/officeDocument/2006/relationships/hyperlink" Target="http://www.land.gov.il/TozaotMichrazim/resultsDetailed.aspx?id=83020&amp;rc=1119&amp;tr=1693" TargetMode="External"/><Relationship Id="rId1397" Type="http://schemas.openxmlformats.org/officeDocument/2006/relationships/hyperlink" Target="http://www.land.gov.il/TozaotMichrazim/resultsDetailed.aspx?id=84822&amp;rc=6&amp;tr=79" TargetMode="External"/><Relationship Id="rId2143" Type="http://schemas.openxmlformats.org/officeDocument/2006/relationships/hyperlink" Target="http://www.land.gov.il/shivukweb/pages/Prj_roshC.html" TargetMode="External"/><Relationship Id="rId2350" Type="http://schemas.openxmlformats.org/officeDocument/2006/relationships/hyperlink" Target="http://www.land.gov.il/TozaotMichrazim/resultsDetailed.aspx?id=87719&amp;rc=297&amp;tr=424" TargetMode="External"/><Relationship Id="rId2795" Type="http://schemas.openxmlformats.org/officeDocument/2006/relationships/control" Target="../activeX/activeX256.xml"/><Relationship Id="rId115" Type="http://schemas.openxmlformats.org/officeDocument/2006/relationships/hyperlink" Target="http://www.land.gov.il/TozaotMichrazim/resultsDetailed.aspx?id=81799&amp;rc=109&amp;tr=685" TargetMode="External"/><Relationship Id="rId322" Type="http://schemas.openxmlformats.org/officeDocument/2006/relationships/hyperlink" Target="http://www.land.gov.il/TozaotMichrazim/resultsDetailed.aspx?id=85048&amp;rc=193&amp;tr=1693" TargetMode="External"/><Relationship Id="rId767" Type="http://schemas.openxmlformats.org/officeDocument/2006/relationships/hyperlink" Target="http://www.land.gov.il/TozaotMichrazim/resultsDetailed.aspx?id=84588&amp;rc=723&amp;tr=1693" TargetMode="External"/><Relationship Id="rId974" Type="http://schemas.openxmlformats.org/officeDocument/2006/relationships/hyperlink" Target="http://www.land.gov.il/TozaotMichrazim/resultsDetailed.aspx?id=82874&amp;rc=973&amp;tr=1693" TargetMode="External"/><Relationship Id="rId2003" Type="http://schemas.openxmlformats.org/officeDocument/2006/relationships/hyperlink" Target="http://www.land.gov.il/TozaotMichrazim/resultsDetailed.aspx?id=83629&amp;rc=26&amp;tr=440" TargetMode="External"/><Relationship Id="rId2210" Type="http://schemas.openxmlformats.org/officeDocument/2006/relationships/hyperlink" Target="http://land.gov.il/TozaotMichrazim/Results.aspx?NewSearch=true&amp;ynmichraz=2015&amp;anMichraz=%e7%e9&amp;Nnmichraz=274" TargetMode="External"/><Relationship Id="rId2448" Type="http://schemas.openxmlformats.org/officeDocument/2006/relationships/hyperlink" Target="http://www.land.gov.il/TozaotMichrazim/resultsDetailed.aspx?id=87331&amp;rc=424&amp;tr=424" TargetMode="External"/><Relationship Id="rId2655" Type="http://schemas.openxmlformats.org/officeDocument/2006/relationships/control" Target="../activeX/activeX116.xml"/><Relationship Id="rId627" Type="http://schemas.openxmlformats.org/officeDocument/2006/relationships/hyperlink" Target="http://www.land.gov.il/TozaotMichrazim/resultsDetailed.aspx?id=85404&amp;rc=549&amp;tr=1693" TargetMode="External"/><Relationship Id="rId834" Type="http://schemas.openxmlformats.org/officeDocument/2006/relationships/hyperlink" Target="http://www.land.gov.il/TozaotMichrazim/resultsDetailed.aspx?id=82720&amp;rc=819&amp;tr=1693" TargetMode="External"/><Relationship Id="rId1257" Type="http://schemas.openxmlformats.org/officeDocument/2006/relationships/hyperlink" Target="http://www.land.gov.il/TozaotMichrazim/resultsDetailed.aspx?id=79330&amp;rc=1310&amp;tr=1693" TargetMode="External"/><Relationship Id="rId1464" Type="http://schemas.openxmlformats.org/officeDocument/2006/relationships/hyperlink" Target="http://www.land.gov.il/TozaotMichrazim/resultsDetailed.aspx?id=81923&amp;rc=53&amp;tr=421" TargetMode="External"/><Relationship Id="rId1671" Type="http://schemas.openxmlformats.org/officeDocument/2006/relationships/hyperlink" Target="http://www.land.gov.il/TozaotMichrazim/resultsDetailed.aspx?id=84699&amp;rc=161&amp;tr=674" TargetMode="External"/><Relationship Id="rId2308" Type="http://schemas.openxmlformats.org/officeDocument/2006/relationships/hyperlink" Target="http://www.land.gov.il/TozaotMichrazim/resultsDetailed.aspx?id=87677&amp;rc=255&amp;tr=424" TargetMode="External"/><Relationship Id="rId2515" Type="http://schemas.openxmlformats.org/officeDocument/2006/relationships/hyperlink" Target="http://www.land.gov.il/TozaotMichrazim/resultsDetailed.aspx?id=71355&amp;rc=67&amp;tr=87" TargetMode="External"/><Relationship Id="rId2722" Type="http://schemas.openxmlformats.org/officeDocument/2006/relationships/control" Target="../activeX/activeX183.xml"/><Relationship Id="rId901" Type="http://schemas.openxmlformats.org/officeDocument/2006/relationships/hyperlink" Target="http://www.land.gov.il/TozaotMichrazim/resultsDetailed.aspx?id=82791&amp;rc=890&amp;tr=1693" TargetMode="External"/><Relationship Id="rId1117" Type="http://schemas.openxmlformats.org/officeDocument/2006/relationships/hyperlink" Target="http://www.land.gov.il/TozaotMichrazim/resultsDetailed.aspx?id=83047&amp;rc=1146&amp;tr=1693" TargetMode="External"/><Relationship Id="rId1324" Type="http://schemas.openxmlformats.org/officeDocument/2006/relationships/hyperlink" Target="http://www.land.gov.il/TozaotMichrazim/resultsDetailed.aspx?id=76225&amp;rc=1377&amp;tr=1693" TargetMode="External"/><Relationship Id="rId1531" Type="http://schemas.openxmlformats.org/officeDocument/2006/relationships/hyperlink" Target="http://www.land.gov.il/TozaotMichrazim/resultsDetailed.aspx?id=86427&amp;rc=18&amp;tr=674" TargetMode="External"/><Relationship Id="rId1769" Type="http://schemas.openxmlformats.org/officeDocument/2006/relationships/hyperlink" Target="http://www.land.gov.il/TozaotMichrazim/resultsDetailed.aspx?id=81349&amp;rc=282&amp;tr=674" TargetMode="External"/><Relationship Id="rId1976" Type="http://schemas.openxmlformats.org/officeDocument/2006/relationships/hyperlink" Target="http://www.land.gov.il/TozaotMichrazim/resultsDetailed.aspx?id=75023&amp;rc=513&amp;tr=674" TargetMode="External"/><Relationship Id="rId30" Type="http://schemas.openxmlformats.org/officeDocument/2006/relationships/hyperlink" Target="http://www.land.gov.il/TozaotMichrazim/resultsDetailed.aspx?id=84613&amp;rc=24&amp;tr=685" TargetMode="External"/><Relationship Id="rId1629" Type="http://schemas.openxmlformats.org/officeDocument/2006/relationships/hyperlink" Target="http://www.land.gov.il/TozaotMichrazim/resultsDetailed.aspx?id=86525&amp;rc=116&amp;tr=674" TargetMode="External"/><Relationship Id="rId1836" Type="http://schemas.openxmlformats.org/officeDocument/2006/relationships/hyperlink" Target="http://www.land.gov.il/TozaotMichrazim/resultsDetailed.aspx?id=79916&amp;rc=352&amp;tr=674" TargetMode="External"/><Relationship Id="rId1903" Type="http://schemas.openxmlformats.org/officeDocument/2006/relationships/hyperlink" Target="http://www.land.gov.il/TozaotMichrazim/resultsDetailed.aspx?id=79399&amp;rc=419&amp;tr=674" TargetMode="External"/><Relationship Id="rId2098" Type="http://schemas.openxmlformats.org/officeDocument/2006/relationships/hyperlink" Target="http://www.land.gov.il/TozaotMichrazim/resultsDetailed.aspx?id=83659&amp;rc=14&amp;tr=100" TargetMode="External"/><Relationship Id="rId277" Type="http://schemas.openxmlformats.org/officeDocument/2006/relationships/hyperlink" Target="http://www.land.gov.il/TozaotMichrazim/resultsDetailed.aspx?id=85003&amp;rc=148&amp;tr=1693" TargetMode="External"/><Relationship Id="rId484" Type="http://schemas.openxmlformats.org/officeDocument/2006/relationships/hyperlink" Target="http://www.land.gov.il/TozaotMichrazim/resultsDetailed.aspx?id=85221&amp;rc=366&amp;tr=1693" TargetMode="External"/><Relationship Id="rId2165" Type="http://schemas.openxmlformats.org/officeDocument/2006/relationships/hyperlink" Target="http://www.land.gov.il/PirsumMichrazim/Aspx/pirsumDetails.aspx?id=2292016%EE%F8&amp;rc=4&amp;tr=6" TargetMode="External"/><Relationship Id="rId137" Type="http://schemas.openxmlformats.org/officeDocument/2006/relationships/hyperlink" Target="http://www.land.gov.il/TozaotMichrazim/resultsDetailed.aspx?id=77018&amp;rc=136&amp;tr=685" TargetMode="External"/><Relationship Id="rId344" Type="http://schemas.openxmlformats.org/officeDocument/2006/relationships/hyperlink" Target="http://www.land.gov.il/TozaotMichrazim/resultsDetailed.aspx?id=85070&amp;rc=215&amp;tr=1693" TargetMode="External"/><Relationship Id="rId691" Type="http://schemas.openxmlformats.org/officeDocument/2006/relationships/hyperlink" Target="http://www.land.gov.il/TozaotMichrazim/resultsDetailed.aspx?id=85478&amp;rc=623&amp;tr=1693" TargetMode="External"/><Relationship Id="rId789" Type="http://schemas.openxmlformats.org/officeDocument/2006/relationships/hyperlink" Target="http://www.land.gov.il/TozaotMichrazim/resultsDetailed.aspx?id=82655&amp;rc=754&amp;tr=1693" TargetMode="External"/><Relationship Id="rId996" Type="http://schemas.openxmlformats.org/officeDocument/2006/relationships/hyperlink" Target="http://www.land.gov.il/TozaotMichrazim/resultsDetailed.aspx?id=82905&amp;rc=1004&amp;tr=1693" TargetMode="External"/><Relationship Id="rId2025" Type="http://schemas.openxmlformats.org/officeDocument/2006/relationships/hyperlink" Target="http://www.land.gov.il/TozaotMichrazim/resultsDetailed.aspx?id=79126&amp;rc=51&amp;tr=440" TargetMode="External"/><Relationship Id="rId2372" Type="http://schemas.openxmlformats.org/officeDocument/2006/relationships/hyperlink" Target="http://www.land.gov.il/TozaotMichrazim/resultsDetailed.aspx?id=87741&amp;rc=319&amp;tr=424" TargetMode="External"/><Relationship Id="rId2677" Type="http://schemas.openxmlformats.org/officeDocument/2006/relationships/control" Target="../activeX/activeX138.xml"/><Relationship Id="rId551" Type="http://schemas.openxmlformats.org/officeDocument/2006/relationships/hyperlink" Target="http://www.land.gov.il/TozaotMichrazim/resultsDetailed.aspx?id=85306&amp;rc=451&amp;tr=1693" TargetMode="External"/><Relationship Id="rId649" Type="http://schemas.openxmlformats.org/officeDocument/2006/relationships/hyperlink" Target="http://www.land.gov.il/TozaotMichrazim/resultsDetailed.aspx?id=85431&amp;rc=576&amp;tr=1693" TargetMode="External"/><Relationship Id="rId856" Type="http://schemas.openxmlformats.org/officeDocument/2006/relationships/hyperlink" Target="http://www.land.gov.il/TozaotMichrazim/resultsDetailed.aspx?id=82743&amp;rc=842&amp;tr=1693" TargetMode="External"/><Relationship Id="rId1181" Type="http://schemas.openxmlformats.org/officeDocument/2006/relationships/hyperlink" Target="http://www.land.gov.il/TozaotMichrazim/resultsDetailed.aspx?id=83120&amp;rc=1219&amp;tr=1693" TargetMode="External"/><Relationship Id="rId1279" Type="http://schemas.openxmlformats.org/officeDocument/2006/relationships/hyperlink" Target="http://www.land.gov.il/TozaotMichrazim/resultsDetailed.aspx?id=79352&amp;rc=1332&amp;tr=1693" TargetMode="External"/><Relationship Id="rId1486" Type="http://schemas.openxmlformats.org/officeDocument/2006/relationships/hyperlink" Target="http://www.land.gov.il/TozaotMichrazim/resultsDetailed.aspx?id=80120&amp;rc=82&amp;tr=421" TargetMode="External"/><Relationship Id="rId2232" Type="http://schemas.openxmlformats.org/officeDocument/2006/relationships/hyperlink" Target="http://www.land.gov.il/shivukweb/pages/Prj_neotafek.html" TargetMode="External"/><Relationship Id="rId2537" Type="http://schemas.openxmlformats.org/officeDocument/2006/relationships/drawing" Target="../drawings/drawing2.xml"/><Relationship Id="rId204" Type="http://schemas.openxmlformats.org/officeDocument/2006/relationships/hyperlink" Target="http://www.land.gov.il/TozaotMichrazim/resultsDetailed.aspx?id=84925&amp;rc=70&amp;tr=1693" TargetMode="External"/><Relationship Id="rId411" Type="http://schemas.openxmlformats.org/officeDocument/2006/relationships/hyperlink" Target="http://www.land.gov.il/TozaotMichrazim/resultsDetailed.aspx?id=85146&amp;rc=291&amp;tr=1693" TargetMode="External"/><Relationship Id="rId509" Type="http://schemas.openxmlformats.org/officeDocument/2006/relationships/hyperlink" Target="http://www.land.gov.il/TozaotMichrazim/resultsDetailed.aspx?id=85258&amp;rc=403&amp;tr=1693" TargetMode="External"/><Relationship Id="rId1041" Type="http://schemas.openxmlformats.org/officeDocument/2006/relationships/hyperlink" Target="http://www.land.gov.il/TozaotMichrazim/resultsDetailed.aspx?id=82957&amp;rc=1056&amp;tr=1693" TargetMode="External"/><Relationship Id="rId1139" Type="http://schemas.openxmlformats.org/officeDocument/2006/relationships/hyperlink" Target="http://www.land.gov.il/TozaotMichrazim/resultsDetailed.aspx?id=83072&amp;rc=1171&amp;tr=1693" TargetMode="External"/><Relationship Id="rId1346" Type="http://schemas.openxmlformats.org/officeDocument/2006/relationships/hyperlink" Target="http://www.land.gov.il/TozaotMichrazim/resultsDetailed.aspx?id=76247&amp;rc=1399&amp;tr=1693" TargetMode="External"/><Relationship Id="rId1693" Type="http://schemas.openxmlformats.org/officeDocument/2006/relationships/hyperlink" Target="http://www.land.gov.il/TozaotMichrazim/resultsDetailed.aspx?id=83386&amp;rc=201&amp;tr=674" TargetMode="External"/><Relationship Id="rId1998" Type="http://schemas.openxmlformats.org/officeDocument/2006/relationships/hyperlink" Target="http://www.land.gov.il/TozaotMichrazim/resultsDetailed.aspx?id=83662&amp;rc=21&amp;tr=440" TargetMode="External"/><Relationship Id="rId2744" Type="http://schemas.openxmlformats.org/officeDocument/2006/relationships/control" Target="../activeX/activeX205.xml"/><Relationship Id="rId716" Type="http://schemas.openxmlformats.org/officeDocument/2006/relationships/hyperlink" Target="http://www.land.gov.il/TozaotMichrazim/resultsDetailed.aspx?id=85508&amp;rc=653&amp;tr=1693" TargetMode="External"/><Relationship Id="rId923" Type="http://schemas.openxmlformats.org/officeDocument/2006/relationships/hyperlink" Target="http://www.land.gov.il/TozaotMichrazim/resultsDetailed.aspx?id=82814&amp;rc=913&amp;tr=1693" TargetMode="External"/><Relationship Id="rId1553" Type="http://schemas.openxmlformats.org/officeDocument/2006/relationships/hyperlink" Target="http://www.land.gov.il/TozaotMichrazim/resultsDetailed.aspx?id=86449&amp;rc=40&amp;tr=674" TargetMode="External"/><Relationship Id="rId1760" Type="http://schemas.openxmlformats.org/officeDocument/2006/relationships/hyperlink" Target="http://www.land.gov.il/TozaotMichrazim/resultsDetailed.aspx?id=81340&amp;rc=273&amp;tr=674" TargetMode="External"/><Relationship Id="rId1858" Type="http://schemas.openxmlformats.org/officeDocument/2006/relationships/hyperlink" Target="http://www.land.gov.il/TozaotMichrazim/resultsDetailed.aspx?id=79938&amp;rc=374&amp;tr=674" TargetMode="External"/><Relationship Id="rId2604" Type="http://schemas.openxmlformats.org/officeDocument/2006/relationships/control" Target="../activeX/activeX65.xml"/><Relationship Id="rId52" Type="http://schemas.openxmlformats.org/officeDocument/2006/relationships/hyperlink" Target="http://www.land.gov.il/TozaotMichrazim/resultsDetailed.aspx?id=84635&amp;rc=46&amp;tr=685" TargetMode="External"/><Relationship Id="rId1206" Type="http://schemas.openxmlformats.org/officeDocument/2006/relationships/hyperlink" Target="http://www.land.gov.il/TozaotMichrazim/resultsDetailed.aspx?id=83147&amp;rc=1246&amp;tr=1693" TargetMode="External"/><Relationship Id="rId1413" Type="http://schemas.openxmlformats.org/officeDocument/2006/relationships/hyperlink" Target="http://www.land.gov.il/TozaotMichrazim/resultsDetailed.aspx?id=86702&amp;rc=6&amp;tr=43" TargetMode="External"/><Relationship Id="rId1620" Type="http://schemas.openxmlformats.org/officeDocument/2006/relationships/hyperlink" Target="http://www.land.gov.il/TozaotMichrazim/resultsDetailed.aspx?id=86516&amp;rc=107&amp;tr=674" TargetMode="External"/><Relationship Id="rId1718" Type="http://schemas.openxmlformats.org/officeDocument/2006/relationships/hyperlink" Target="http://www.land.gov.il/TozaotMichrazim/resultsDetailed.aspx?id=81297&amp;rc=230&amp;tr=674" TargetMode="External"/><Relationship Id="rId1925" Type="http://schemas.openxmlformats.org/officeDocument/2006/relationships/hyperlink" Target="http://www.land.gov.il/TozaotMichrazim/resultsDetailed.aspx?id=76952&amp;rc=454&amp;tr=674" TargetMode="External"/><Relationship Id="rId299" Type="http://schemas.openxmlformats.org/officeDocument/2006/relationships/hyperlink" Target="http://www.land.gov.il/TozaotMichrazim/resultsDetailed.aspx?id=85025&amp;rc=170&amp;tr=1693" TargetMode="External"/><Relationship Id="rId2187" Type="http://schemas.openxmlformats.org/officeDocument/2006/relationships/hyperlink" Target="http://www.land.gov.il/PirsumMichrazim/Aspx/pirsumDetails.aspx?id=%20252017%E1%F9&amp;rc=1&amp;tr=196" TargetMode="External"/><Relationship Id="rId2394" Type="http://schemas.openxmlformats.org/officeDocument/2006/relationships/hyperlink" Target="http://www.land.gov.il/TozaotMichrazim/resultsDetailed.aspx?id=87299&amp;rc=345&amp;tr=424" TargetMode="External"/><Relationship Id="rId159" Type="http://schemas.openxmlformats.org/officeDocument/2006/relationships/hyperlink" Target="http://www.land.gov.il/TozaotMichrazim/resultsDetailed.aspx?id=86397&amp;rc=13&amp;tr=1693" TargetMode="External"/><Relationship Id="rId366" Type="http://schemas.openxmlformats.org/officeDocument/2006/relationships/hyperlink" Target="http://www.land.gov.il/TozaotMichrazim/resultsDetailed.aspx?id=85092&amp;rc=237&amp;tr=1693" TargetMode="External"/><Relationship Id="rId573" Type="http://schemas.openxmlformats.org/officeDocument/2006/relationships/hyperlink" Target="http://www.land.gov.il/TozaotMichrazim/resultsDetailed.aspx?id=85330&amp;rc=475&amp;tr=1693" TargetMode="External"/><Relationship Id="rId780" Type="http://schemas.openxmlformats.org/officeDocument/2006/relationships/hyperlink" Target="http://www.land.gov.il/TozaotMichrazim/resultsDetailed.aspx?id=82643&amp;rc=742&amp;tr=1693" TargetMode="External"/><Relationship Id="rId2047" Type="http://schemas.openxmlformats.org/officeDocument/2006/relationships/hyperlink" Target="http://www.land.gov.il/TozaotMichrazim/resultsDetailed.aspx?id=86832&amp;rc=10&amp;tr=155" TargetMode="External"/><Relationship Id="rId2254" Type="http://schemas.openxmlformats.org/officeDocument/2006/relationships/hyperlink" Target="http://www.land.gov.il/TozaotMichrazim/resultsDetailed.aspx?id=87758&amp;rc=199&amp;tr=424" TargetMode="External"/><Relationship Id="rId2461" Type="http://schemas.openxmlformats.org/officeDocument/2006/relationships/hyperlink" Target="http://www.land.gov.il/TozaotMichrazim/resultsDetailed.aspx?id=85585&amp;rc=13&amp;tr=87" TargetMode="External"/><Relationship Id="rId2699" Type="http://schemas.openxmlformats.org/officeDocument/2006/relationships/control" Target="../activeX/activeX160.xml"/><Relationship Id="rId226" Type="http://schemas.openxmlformats.org/officeDocument/2006/relationships/hyperlink" Target="http://www.land.gov.il/TozaotMichrazim/resultsDetailed.aspx?id=84947&amp;rc=92&amp;tr=1693" TargetMode="External"/><Relationship Id="rId433" Type="http://schemas.openxmlformats.org/officeDocument/2006/relationships/hyperlink" Target="http://www.land.gov.il/TozaotMichrazim/resultsDetailed.aspx?id=85169&amp;rc=314&amp;tr=1693" TargetMode="External"/><Relationship Id="rId878" Type="http://schemas.openxmlformats.org/officeDocument/2006/relationships/hyperlink" Target="http://www.land.gov.il/TozaotMichrazim/resultsDetailed.aspx?id=82767&amp;rc=866&amp;tr=1693" TargetMode="External"/><Relationship Id="rId1063" Type="http://schemas.openxmlformats.org/officeDocument/2006/relationships/hyperlink" Target="http://www.land.gov.il/TozaotMichrazim/resultsDetailed.aspx?id=82984&amp;rc=1083&amp;tr=1693" TargetMode="External"/><Relationship Id="rId1270" Type="http://schemas.openxmlformats.org/officeDocument/2006/relationships/hyperlink" Target="http://www.land.gov.il/TozaotMichrazim/resultsDetailed.aspx?id=79343&amp;rc=1323&amp;tr=1693" TargetMode="External"/><Relationship Id="rId2114" Type="http://schemas.openxmlformats.org/officeDocument/2006/relationships/hyperlink" Target="http://www.land.gov.il/shivukweb/pages/Prj_yavneBC.html" TargetMode="External"/><Relationship Id="rId2559" Type="http://schemas.openxmlformats.org/officeDocument/2006/relationships/control" Target="../activeX/activeX20.xml"/><Relationship Id="rId2766" Type="http://schemas.openxmlformats.org/officeDocument/2006/relationships/control" Target="../activeX/activeX227.xml"/><Relationship Id="rId640" Type="http://schemas.openxmlformats.org/officeDocument/2006/relationships/hyperlink" Target="http://www.land.gov.il/TozaotMichrazim/resultsDetailed.aspx?id=85419&amp;rc=564&amp;tr=1693" TargetMode="External"/><Relationship Id="rId738" Type="http://schemas.openxmlformats.org/officeDocument/2006/relationships/hyperlink" Target="http://www.land.gov.il/TozaotMichrazim/resultsDetailed.aspx?id=85543&amp;rc=688&amp;tr=1693" TargetMode="External"/><Relationship Id="rId945" Type="http://schemas.openxmlformats.org/officeDocument/2006/relationships/hyperlink" Target="http://www.land.gov.il/TozaotMichrazim/resultsDetailed.aspx?id=82839&amp;rc=938&amp;tr=1693" TargetMode="External"/><Relationship Id="rId1368" Type="http://schemas.openxmlformats.org/officeDocument/2006/relationships/hyperlink" Target="http://www.land.gov.il/TozaotMichrazim/resultsDetailed.aspx?id=76269&amp;rc=1421&amp;tr=1693" TargetMode="External"/><Relationship Id="rId1575" Type="http://schemas.openxmlformats.org/officeDocument/2006/relationships/hyperlink" Target="http://www.land.gov.il/TozaotMichrazim/resultsDetailed.aspx?id=86471&amp;rc=62&amp;tr=674" TargetMode="External"/><Relationship Id="rId1782" Type="http://schemas.openxmlformats.org/officeDocument/2006/relationships/hyperlink" Target="http://www.land.gov.il/TozaotMichrazim/resultsDetailed.aspx?id=81363&amp;rc=296&amp;tr=674" TargetMode="External"/><Relationship Id="rId2321" Type="http://schemas.openxmlformats.org/officeDocument/2006/relationships/hyperlink" Target="http://www.land.gov.il/TozaotMichrazim/resultsDetailed.aspx?id=87690&amp;rc=268&amp;tr=424" TargetMode="External"/><Relationship Id="rId2419" Type="http://schemas.openxmlformats.org/officeDocument/2006/relationships/hyperlink" Target="http://www.land.gov.il/TozaotMichrazim/resultsDetailed.aspx?id=87343&amp;rc=387&amp;tr=424" TargetMode="External"/><Relationship Id="rId2626" Type="http://schemas.openxmlformats.org/officeDocument/2006/relationships/control" Target="../activeX/activeX87.xml"/><Relationship Id="rId74" Type="http://schemas.openxmlformats.org/officeDocument/2006/relationships/hyperlink" Target="http://www.land.gov.il/TozaotMichrazim/resultsDetailed.aspx?id=84657&amp;rc=68&amp;tr=685" TargetMode="External"/><Relationship Id="rId500" Type="http://schemas.openxmlformats.org/officeDocument/2006/relationships/hyperlink" Target="http://www.land.gov.il/TozaotMichrazim/resultsDetailed.aspx?id=85244&amp;rc=389&amp;tr=1693" TargetMode="External"/><Relationship Id="rId805" Type="http://schemas.openxmlformats.org/officeDocument/2006/relationships/hyperlink" Target="http://www.land.gov.il/TozaotMichrazim/resultsDetailed.aspx?id=82679&amp;rc=778&amp;tr=1693" TargetMode="External"/><Relationship Id="rId1130" Type="http://schemas.openxmlformats.org/officeDocument/2006/relationships/hyperlink" Target="http://www.land.gov.il/TozaotMichrazim/resultsDetailed.aspx?id=83061&amp;rc=1160&amp;tr=1693" TargetMode="External"/><Relationship Id="rId1228" Type="http://schemas.openxmlformats.org/officeDocument/2006/relationships/hyperlink" Target="http://www.land.gov.il/TozaotMichrazim/resultsDetailed.aspx?id=83180&amp;rc=1279&amp;tr=1693" TargetMode="External"/><Relationship Id="rId1435" Type="http://schemas.openxmlformats.org/officeDocument/2006/relationships/hyperlink" Target="http://www.land.gov.il/TozaotMichrazim/resultsDetailed.aspx?id=87248&amp;rc=22&amp;tr=421" TargetMode="External"/><Relationship Id="rId1642" Type="http://schemas.openxmlformats.org/officeDocument/2006/relationships/hyperlink" Target="http://www.land.gov.il/TozaotMichrazim/resultsDetailed.aspx?id=86538&amp;rc=129&amp;tr=674" TargetMode="External"/><Relationship Id="rId1947" Type="http://schemas.openxmlformats.org/officeDocument/2006/relationships/hyperlink" Target="http://www.land.gov.il/TozaotMichrazim/resultsDetailed.aspx?id=76981&amp;rc=483&amp;tr=674" TargetMode="External"/><Relationship Id="rId1502" Type="http://schemas.openxmlformats.org/officeDocument/2006/relationships/hyperlink" Target="http://www.land.gov.il/TozaotMichrazim/resultsDetailed.aspx?id=80136&amp;rc=98&amp;tr=421" TargetMode="External"/><Relationship Id="rId1807" Type="http://schemas.openxmlformats.org/officeDocument/2006/relationships/hyperlink" Target="http://www.land.gov.il/TozaotMichrazim/resultsDetailed.aspx?id=81390&amp;rc=323&amp;tr=674" TargetMode="External"/><Relationship Id="rId290" Type="http://schemas.openxmlformats.org/officeDocument/2006/relationships/hyperlink" Target="http://www.land.gov.il/TozaotMichrazim/resultsDetailed.aspx?id=85016&amp;rc=161&amp;tr=1693" TargetMode="External"/><Relationship Id="rId388" Type="http://schemas.openxmlformats.org/officeDocument/2006/relationships/hyperlink" Target="http://www.land.gov.il/TozaotMichrazim/resultsDetailed.aspx?id=85115&amp;rc=260&amp;tr=1693" TargetMode="External"/><Relationship Id="rId2069" Type="http://schemas.openxmlformats.org/officeDocument/2006/relationships/hyperlink" Target="http://www.land.gov.il/TozaotMichrazim/resultsDetailed.aspx?id=87050&amp;rc=10&amp;tr=115" TargetMode="External"/><Relationship Id="rId150" Type="http://schemas.openxmlformats.org/officeDocument/2006/relationships/hyperlink" Target="http://www.land.gov.il/TozaotMichrazim/resultsDetailed.aspx?id=76565&amp;rc=152&amp;tr=685" TargetMode="External"/><Relationship Id="rId595" Type="http://schemas.openxmlformats.org/officeDocument/2006/relationships/hyperlink" Target="http://www.land.gov.il/TozaotMichrazim/resultsDetailed.aspx?id=85364&amp;rc=509&amp;tr=1693" TargetMode="External"/><Relationship Id="rId2276" Type="http://schemas.openxmlformats.org/officeDocument/2006/relationships/hyperlink" Target="http://www.land.gov.il/TozaotMichrazim/resultsDetailed.aspx?id=87645&amp;rc=223&amp;tr=424" TargetMode="External"/><Relationship Id="rId2483" Type="http://schemas.openxmlformats.org/officeDocument/2006/relationships/hyperlink" Target="http://www.land.gov.il/TozaotMichrazim/resultsDetailed.aspx?id=81166&amp;rc=35&amp;tr=87" TargetMode="External"/><Relationship Id="rId2690" Type="http://schemas.openxmlformats.org/officeDocument/2006/relationships/control" Target="../activeX/activeX151.xml"/><Relationship Id="rId248" Type="http://schemas.openxmlformats.org/officeDocument/2006/relationships/hyperlink" Target="http://www.land.gov.il/TozaotMichrazim/resultsDetailed.aspx?id=84970&amp;rc=115&amp;tr=1693" TargetMode="External"/><Relationship Id="rId455" Type="http://schemas.openxmlformats.org/officeDocument/2006/relationships/hyperlink" Target="http://www.land.gov.il/TozaotMichrazim/resultsDetailed.aspx?id=85191&amp;rc=336&amp;tr=1693" TargetMode="External"/><Relationship Id="rId662" Type="http://schemas.openxmlformats.org/officeDocument/2006/relationships/hyperlink" Target="http://www.land.gov.il/TozaotMichrazim/resultsDetailed.aspx?id=85446&amp;rc=591&amp;tr=1693" TargetMode="External"/><Relationship Id="rId1085" Type="http://schemas.openxmlformats.org/officeDocument/2006/relationships/hyperlink" Target="http://www.land.gov.il/TozaotMichrazim/resultsDetailed.aspx?id=83013&amp;rc=1112&amp;tr=1693" TargetMode="External"/><Relationship Id="rId1292" Type="http://schemas.openxmlformats.org/officeDocument/2006/relationships/hyperlink" Target="http://www.land.gov.il/TozaotMichrazim/resultsDetailed.aspx?id=79037&amp;rc=1345&amp;tr=1693" TargetMode="External"/><Relationship Id="rId2136" Type="http://schemas.openxmlformats.org/officeDocument/2006/relationships/hyperlink" Target="http://www.land.gov.il/IturTabot2/taba2.aspx?tbMerchav=419&amp;tUniqueID=0&amp;sSug=~&amp;tblView=tblView_2cbd28fe9b5a&amp;tbMsTochnit=%25u05dc%25u05d4/%25u05d1%25u05de/172" TargetMode="External"/><Relationship Id="rId2343" Type="http://schemas.openxmlformats.org/officeDocument/2006/relationships/hyperlink" Target="http://www.land.gov.il/TozaotMichrazim/resultsDetailed.aspx?id=87712&amp;rc=290&amp;tr=424" TargetMode="External"/><Relationship Id="rId2550" Type="http://schemas.openxmlformats.org/officeDocument/2006/relationships/control" Target="../activeX/activeX11.xml"/><Relationship Id="rId2788" Type="http://schemas.openxmlformats.org/officeDocument/2006/relationships/control" Target="../activeX/activeX249.xml"/><Relationship Id="rId108" Type="http://schemas.openxmlformats.org/officeDocument/2006/relationships/hyperlink" Target="http://www.land.gov.il/TozaotMichrazim/resultsDetailed.aspx?id=81792&amp;rc=102&amp;tr=685" TargetMode="External"/><Relationship Id="rId315" Type="http://schemas.openxmlformats.org/officeDocument/2006/relationships/hyperlink" Target="http://www.land.gov.il/TozaotMichrazim/resultsDetailed.aspx?id=85041&amp;rc=186&amp;tr=1693" TargetMode="External"/><Relationship Id="rId522" Type="http://schemas.openxmlformats.org/officeDocument/2006/relationships/hyperlink" Target="http://www.land.gov.il/TozaotMichrazim/resultsDetailed.aspx?id=85271&amp;rc=416&amp;tr=1693" TargetMode="External"/><Relationship Id="rId967" Type="http://schemas.openxmlformats.org/officeDocument/2006/relationships/hyperlink" Target="http://www.land.gov.il/TozaotMichrazim/resultsDetailed.aspx?id=82863&amp;rc=962&amp;tr=1693" TargetMode="External"/><Relationship Id="rId1152" Type="http://schemas.openxmlformats.org/officeDocument/2006/relationships/hyperlink" Target="http://www.land.gov.il/TozaotMichrazim/resultsDetailed.aspx?id=83087&amp;rc=1186&amp;tr=1693" TargetMode="External"/><Relationship Id="rId1597" Type="http://schemas.openxmlformats.org/officeDocument/2006/relationships/hyperlink" Target="http://www.land.gov.il/TozaotMichrazim/resultsDetailed.aspx?id=86493&amp;rc=84&amp;tr=674" TargetMode="External"/><Relationship Id="rId2203" Type="http://schemas.openxmlformats.org/officeDocument/2006/relationships/hyperlink" Target="http://www.land.gov.il/PirsumMichrazim/Aspx/pirsumDetails.aspx?id=3372015%E9%ED&amp;rc=8&amp;tr=74" TargetMode="External"/><Relationship Id="rId2410" Type="http://schemas.openxmlformats.org/officeDocument/2006/relationships/hyperlink" Target="http://www.land.gov.il/TozaotMichrazim/resultsDetailed.aspx?id=87334&amp;rc=378&amp;tr=424" TargetMode="External"/><Relationship Id="rId2648" Type="http://schemas.openxmlformats.org/officeDocument/2006/relationships/control" Target="../activeX/activeX109.xml"/><Relationship Id="rId96" Type="http://schemas.openxmlformats.org/officeDocument/2006/relationships/hyperlink" Target="http://www.land.gov.il/TozaotMichrazim/resultsDetailed.aspx?id=84679&amp;rc=90&amp;tr=685" TargetMode="External"/><Relationship Id="rId827" Type="http://schemas.openxmlformats.org/officeDocument/2006/relationships/hyperlink" Target="http://www.land.gov.il/TozaotMichrazim/resultsDetailed.aspx?id=82709&amp;rc=808&amp;tr=1693" TargetMode="External"/><Relationship Id="rId1012" Type="http://schemas.openxmlformats.org/officeDocument/2006/relationships/hyperlink" Target="http://www.land.gov.il/TozaotMichrazim/resultsDetailed.aspx?id=82922&amp;rc=1021&amp;tr=1693" TargetMode="External"/><Relationship Id="rId1457" Type="http://schemas.openxmlformats.org/officeDocument/2006/relationships/hyperlink" Target="http://www.land.gov.il/TozaotMichrazim/resultsDetailed.aspx?id=83658&amp;rc=46&amp;tr=421" TargetMode="External"/><Relationship Id="rId1664" Type="http://schemas.openxmlformats.org/officeDocument/2006/relationships/hyperlink" Target="http://www.land.gov.il/TozaotMichrazim/resultsDetailed.aspx?id=85637&amp;rc=154&amp;tr=674" TargetMode="External"/><Relationship Id="rId1871" Type="http://schemas.openxmlformats.org/officeDocument/2006/relationships/hyperlink" Target="http://www.land.gov.il/TozaotMichrazim/resultsDetailed.aspx?id=79951&amp;rc=387&amp;tr=674" TargetMode="External"/><Relationship Id="rId2508" Type="http://schemas.openxmlformats.org/officeDocument/2006/relationships/hyperlink" Target="http://www.land.gov.il/TozaotMichrazim/resultsDetailed.aspx?id=71348&amp;rc=60&amp;tr=87" TargetMode="External"/><Relationship Id="rId2715" Type="http://schemas.openxmlformats.org/officeDocument/2006/relationships/control" Target="../activeX/activeX176.xml"/><Relationship Id="rId1317" Type="http://schemas.openxmlformats.org/officeDocument/2006/relationships/hyperlink" Target="http://www.land.gov.il/TozaotMichrazim/resultsDetailed.aspx?id=77162&amp;rc=1370&amp;tr=1693" TargetMode="External"/><Relationship Id="rId1524" Type="http://schemas.openxmlformats.org/officeDocument/2006/relationships/hyperlink" Target="http://www.land.gov.il/TozaotMichrazim/resultsDetailed.aspx?id=86420&amp;rc=11&amp;tr=674" TargetMode="External"/><Relationship Id="rId1731" Type="http://schemas.openxmlformats.org/officeDocument/2006/relationships/hyperlink" Target="http://www.land.gov.il/TozaotMichrazim/resultsDetailed.aspx?id=81310&amp;rc=243&amp;tr=674" TargetMode="External"/><Relationship Id="rId1969" Type="http://schemas.openxmlformats.org/officeDocument/2006/relationships/hyperlink" Target="http://www.land.gov.il/TozaotMichrazim/resultsDetailed.aspx?id=76730&amp;rc=506&amp;tr=674" TargetMode="External"/><Relationship Id="rId23" Type="http://schemas.openxmlformats.org/officeDocument/2006/relationships/hyperlink" Target="http://www.land.gov.il/TozaotMichrazim/resultsDetailed.aspx?id=84606&amp;rc=17&amp;tr=685" TargetMode="External"/><Relationship Id="rId1829" Type="http://schemas.openxmlformats.org/officeDocument/2006/relationships/hyperlink" Target="http://www.land.gov.il/TozaotMichrazim/resultsDetailed.aspx?id=81412&amp;rc=345&amp;tr=674" TargetMode="External"/><Relationship Id="rId2298" Type="http://schemas.openxmlformats.org/officeDocument/2006/relationships/hyperlink" Target="http://www.land.gov.il/TozaotMichrazim/resultsDetailed.aspx?id=87667&amp;rc=245&amp;tr=424" TargetMode="External"/><Relationship Id="rId172" Type="http://schemas.openxmlformats.org/officeDocument/2006/relationships/hyperlink" Target="http://www.land.gov.il/TozaotMichrazim/resultsDetailed.aspx?id=84892&amp;rc=37&amp;tr=1693" TargetMode="External"/><Relationship Id="rId477" Type="http://schemas.openxmlformats.org/officeDocument/2006/relationships/hyperlink" Target="http://www.land.gov.il/TozaotMichrazim/resultsDetailed.aspx?id=85213&amp;rc=358&amp;tr=1693" TargetMode="External"/><Relationship Id="rId684" Type="http://schemas.openxmlformats.org/officeDocument/2006/relationships/hyperlink" Target="http://www.land.gov.il/TozaotMichrazim/resultsDetailed.aspx?id=85470&amp;rc=615&amp;tr=1693" TargetMode="External"/><Relationship Id="rId2060" Type="http://schemas.openxmlformats.org/officeDocument/2006/relationships/hyperlink" Target="http://www.land.gov.il/TozaotMichrazim/resultsDetailed.aspx?id=87119&amp;rc=1&amp;tr=115" TargetMode="External"/><Relationship Id="rId2158" Type="http://schemas.openxmlformats.org/officeDocument/2006/relationships/hyperlink" Target="http://www.land.gov.il/iturtabot2/taba2.aspx?tbMerchav=107&amp;tbMsTochnit=2/140/02/9" TargetMode="External"/><Relationship Id="rId2365" Type="http://schemas.openxmlformats.org/officeDocument/2006/relationships/hyperlink" Target="http://www.land.gov.il/TozaotMichrazim/resultsDetailed.aspx?id=87734&amp;rc=312&amp;tr=424" TargetMode="External"/><Relationship Id="rId337" Type="http://schemas.openxmlformats.org/officeDocument/2006/relationships/hyperlink" Target="http://www.land.gov.il/TozaotMichrazim/resultsDetailed.aspx?id=85063&amp;rc=208&amp;tr=1693" TargetMode="External"/><Relationship Id="rId891" Type="http://schemas.openxmlformats.org/officeDocument/2006/relationships/hyperlink" Target="http://www.land.gov.il/TozaotMichrazim/resultsDetailed.aspx?id=82780&amp;rc=879&amp;tr=1693" TargetMode="External"/><Relationship Id="rId989" Type="http://schemas.openxmlformats.org/officeDocument/2006/relationships/hyperlink" Target="http://www.land.gov.il/TozaotMichrazim/resultsDetailed.aspx?id=82895&amp;rc=994&amp;tr=1693" TargetMode="External"/><Relationship Id="rId2018" Type="http://schemas.openxmlformats.org/officeDocument/2006/relationships/hyperlink" Target="http://www.land.gov.il/TozaotMichrazim/resultsDetailed.aspx?id=80734&amp;rc=44&amp;tr=440" TargetMode="External"/><Relationship Id="rId2572" Type="http://schemas.openxmlformats.org/officeDocument/2006/relationships/control" Target="../activeX/activeX33.xml"/><Relationship Id="rId544" Type="http://schemas.openxmlformats.org/officeDocument/2006/relationships/hyperlink" Target="http://www.land.gov.il/TozaotMichrazim/resultsDetailed.aspx?id=85299&amp;rc=444&amp;tr=1693" TargetMode="External"/><Relationship Id="rId751" Type="http://schemas.openxmlformats.org/officeDocument/2006/relationships/hyperlink" Target="http://www.land.gov.il/TozaotMichrazim/resultsDetailed.aspx?id=85561&amp;rc=706&amp;tr=1693" TargetMode="External"/><Relationship Id="rId849" Type="http://schemas.openxmlformats.org/officeDocument/2006/relationships/hyperlink" Target="http://www.land.gov.il/TozaotMichrazim/resultsDetailed.aspx?id=82736&amp;rc=835&amp;tr=1693" TargetMode="External"/><Relationship Id="rId1174" Type="http://schemas.openxmlformats.org/officeDocument/2006/relationships/hyperlink" Target="http://www.land.gov.il/TozaotMichrazim/resultsDetailed.aspx?id=83113&amp;rc=1212&amp;tr=1693" TargetMode="External"/><Relationship Id="rId1381" Type="http://schemas.openxmlformats.org/officeDocument/2006/relationships/hyperlink" Target="http://www.land.gov.il/TozaotMichrazim/resultsDetailed.aspx?id=76282&amp;rc=1434&amp;tr=1693" TargetMode="External"/><Relationship Id="rId1479" Type="http://schemas.openxmlformats.org/officeDocument/2006/relationships/hyperlink" Target="http://www.land.gov.il/TozaotMichrazim/resultsDetailed.aspx?id=80113&amp;rc=75&amp;tr=421" TargetMode="External"/><Relationship Id="rId1686" Type="http://schemas.openxmlformats.org/officeDocument/2006/relationships/hyperlink" Target="http://www.land.gov.il/TozaotMichrazim/resultsDetailed.aspx?id=83831&amp;rc=194&amp;tr=674" TargetMode="External"/><Relationship Id="rId2225" Type="http://schemas.openxmlformats.org/officeDocument/2006/relationships/hyperlink" Target="http://www.land.gov.il/PirsumMichrazim/Aspx/pirsumDetails.aspx?id=3802016%E7%E9&amp;rc=3&amp;tr=3" TargetMode="External"/><Relationship Id="rId2432" Type="http://schemas.openxmlformats.org/officeDocument/2006/relationships/hyperlink" Target="http://www.land.gov.il/TozaotMichrazim/resultsDetailed.aspx?id=87315&amp;rc=408&amp;tr=424" TargetMode="External"/><Relationship Id="rId404" Type="http://schemas.openxmlformats.org/officeDocument/2006/relationships/hyperlink" Target="http://www.land.gov.il/TozaotMichrazim/resultsDetailed.aspx?id=85138&amp;rc=283&amp;tr=1693" TargetMode="External"/><Relationship Id="rId611" Type="http://schemas.openxmlformats.org/officeDocument/2006/relationships/hyperlink" Target="http://www.land.gov.il/TozaotMichrazim/resultsDetailed.aspx?id=85385&amp;rc=530&amp;tr=1693" TargetMode="External"/><Relationship Id="rId1034" Type="http://schemas.openxmlformats.org/officeDocument/2006/relationships/hyperlink" Target="http://www.land.gov.il/TozaotMichrazim/resultsDetailed.aspx?id=82947&amp;rc=1046&amp;tr=1693" TargetMode="External"/><Relationship Id="rId1241" Type="http://schemas.openxmlformats.org/officeDocument/2006/relationships/hyperlink" Target="http://www.land.gov.il/TozaotMichrazim/resultsDetailed.aspx?id=79314&amp;rc=1294&amp;tr=1693" TargetMode="External"/><Relationship Id="rId1339" Type="http://schemas.openxmlformats.org/officeDocument/2006/relationships/hyperlink" Target="http://www.land.gov.il/TozaotMichrazim/resultsDetailed.aspx?id=76240&amp;rc=1392&amp;tr=1693" TargetMode="External"/><Relationship Id="rId1893" Type="http://schemas.openxmlformats.org/officeDocument/2006/relationships/hyperlink" Target="http://www.land.gov.il/TozaotMichrazim/resultsDetailed.aspx?id=79389&amp;rc=409&amp;tr=674" TargetMode="External"/><Relationship Id="rId2737" Type="http://schemas.openxmlformats.org/officeDocument/2006/relationships/control" Target="../activeX/activeX198.xml"/><Relationship Id="rId709" Type="http://schemas.openxmlformats.org/officeDocument/2006/relationships/hyperlink" Target="http://www.land.gov.il/TozaotMichrazim/resultsDetailed.aspx?id=85499&amp;rc=644&amp;tr=1693" TargetMode="External"/><Relationship Id="rId916" Type="http://schemas.openxmlformats.org/officeDocument/2006/relationships/hyperlink" Target="http://www.land.gov.il/TozaotMichrazim/resultsDetailed.aspx?id=82806&amp;rc=905&amp;tr=1693" TargetMode="External"/><Relationship Id="rId1101" Type="http://schemas.openxmlformats.org/officeDocument/2006/relationships/hyperlink" Target="http://www.land.gov.il/TozaotMichrazim/resultsDetailed.aspx?id=83029&amp;rc=1128&amp;tr=1693" TargetMode="External"/><Relationship Id="rId1546" Type="http://schemas.openxmlformats.org/officeDocument/2006/relationships/hyperlink" Target="http://www.land.gov.il/TozaotMichrazim/resultsDetailed.aspx?id=86442&amp;rc=33&amp;tr=674" TargetMode="External"/><Relationship Id="rId1753" Type="http://schemas.openxmlformats.org/officeDocument/2006/relationships/hyperlink" Target="http://www.land.gov.il/TozaotMichrazim/resultsDetailed.aspx?id=81333&amp;rc=266&amp;tr=674" TargetMode="External"/><Relationship Id="rId1960" Type="http://schemas.openxmlformats.org/officeDocument/2006/relationships/hyperlink" Target="http://www.land.gov.il/TozaotMichrazim/resultsDetailed.aspx?id=76994&amp;rc=496&amp;tr=674" TargetMode="External"/><Relationship Id="rId2804" Type="http://schemas.openxmlformats.org/officeDocument/2006/relationships/control" Target="../activeX/activeX265.xml"/><Relationship Id="rId45" Type="http://schemas.openxmlformats.org/officeDocument/2006/relationships/hyperlink" Target="http://www.land.gov.il/TozaotMichrazim/resultsDetailed.aspx?id=84628&amp;rc=39&amp;tr=685" TargetMode="External"/><Relationship Id="rId1406" Type="http://schemas.openxmlformats.org/officeDocument/2006/relationships/hyperlink" Target="http://www.land.gov.il/TozaotMichrazim/resultsDetailed.aspx?id=76589&amp;rc=24&amp;tr=79" TargetMode="External"/><Relationship Id="rId1613" Type="http://schemas.openxmlformats.org/officeDocument/2006/relationships/hyperlink" Target="http://www.land.gov.il/TozaotMichrazim/resultsDetailed.aspx?id=86509&amp;rc=100&amp;tr=674" TargetMode="External"/><Relationship Id="rId1820" Type="http://schemas.openxmlformats.org/officeDocument/2006/relationships/hyperlink" Target="http://www.land.gov.il/TozaotMichrazim/resultsDetailed.aspx?id=81403&amp;rc=336&amp;tr=674" TargetMode="External"/><Relationship Id="rId194" Type="http://schemas.openxmlformats.org/officeDocument/2006/relationships/hyperlink" Target="http://www.land.gov.il/TozaotMichrazim/resultsDetailed.aspx?id=84915&amp;rc=60&amp;tr=1693" TargetMode="External"/><Relationship Id="rId1918" Type="http://schemas.openxmlformats.org/officeDocument/2006/relationships/hyperlink" Target="http://www.land.gov.il/TozaotMichrazim/resultsDetailed.aspx?id=76939&amp;rc=441&amp;tr=674" TargetMode="External"/><Relationship Id="rId2082" Type="http://schemas.openxmlformats.org/officeDocument/2006/relationships/hyperlink" Target="http://www.land.gov.il/TozaotMichrazim/resultsDetailed.aspx?id=80748&amp;rc=23&amp;tr=115" TargetMode="External"/><Relationship Id="rId261" Type="http://schemas.openxmlformats.org/officeDocument/2006/relationships/hyperlink" Target="http://www.land.gov.il/TozaotMichrazim/resultsDetailed.aspx?id=84987&amp;rc=132&amp;tr=1693" TargetMode="External"/><Relationship Id="rId499" Type="http://schemas.openxmlformats.org/officeDocument/2006/relationships/hyperlink" Target="http://www.land.gov.il/TozaotMichrazim/resultsDetailed.aspx?id=85241&amp;rc=386&amp;tr=1693" TargetMode="External"/><Relationship Id="rId2387" Type="http://schemas.openxmlformats.org/officeDocument/2006/relationships/hyperlink" Target="http://www.land.gov.il/TozaotMichrazim/resultsDetailed.aspx?id=87292&amp;rc=338&amp;tr=424" TargetMode="External"/><Relationship Id="rId2594" Type="http://schemas.openxmlformats.org/officeDocument/2006/relationships/control" Target="../activeX/activeX55.xml"/><Relationship Id="rId359" Type="http://schemas.openxmlformats.org/officeDocument/2006/relationships/hyperlink" Target="http://www.land.gov.il/TozaotMichrazim/resultsDetailed.aspx?id=85085&amp;rc=230&amp;tr=1693" TargetMode="External"/><Relationship Id="rId566" Type="http://schemas.openxmlformats.org/officeDocument/2006/relationships/hyperlink" Target="http://www.land.gov.il/TozaotMichrazim/resultsDetailed.aspx?id=85323&amp;rc=468&amp;tr=1693" TargetMode="External"/><Relationship Id="rId773" Type="http://schemas.openxmlformats.org/officeDocument/2006/relationships/hyperlink" Target="http://www.land.gov.il/TozaotMichrazim/resultsDetailed.aspx?id=82631&amp;rc=730&amp;tr=1693" TargetMode="External"/><Relationship Id="rId1196" Type="http://schemas.openxmlformats.org/officeDocument/2006/relationships/hyperlink" Target="http://www.land.gov.il/TozaotMichrazim/resultsDetailed.aspx?id=83136&amp;rc=1235&amp;tr=1693" TargetMode="External"/><Relationship Id="rId2247" Type="http://schemas.openxmlformats.org/officeDocument/2006/relationships/hyperlink" Target="http://www.land.gov.il/TozaotMichrazim/resultsDetailed.aspx?id=87851&amp;rc=31&amp;tr=424" TargetMode="External"/><Relationship Id="rId2454" Type="http://schemas.openxmlformats.org/officeDocument/2006/relationships/hyperlink" Target="http://www.land.gov.il/TozaotMichrazim/resultsDetailed.aspx?id=85578&amp;rc=6&amp;tr=87" TargetMode="External"/><Relationship Id="rId121" Type="http://schemas.openxmlformats.org/officeDocument/2006/relationships/hyperlink" Target="http://www.land.gov.il/TozaotMichrazim/resultsDetailed.aspx?id=80765&amp;rc=115&amp;tr=685" TargetMode="External"/><Relationship Id="rId219" Type="http://schemas.openxmlformats.org/officeDocument/2006/relationships/hyperlink" Target="http://www.land.gov.il/TozaotMichrazim/resultsDetailed.aspx?id=84940&amp;rc=85&amp;tr=1693" TargetMode="External"/><Relationship Id="rId426" Type="http://schemas.openxmlformats.org/officeDocument/2006/relationships/hyperlink" Target="http://www.land.gov.il/TozaotMichrazim/resultsDetailed.aspx?id=85162&amp;rc=307&amp;tr=1693" TargetMode="External"/><Relationship Id="rId633" Type="http://schemas.openxmlformats.org/officeDocument/2006/relationships/hyperlink" Target="http://www.land.gov.il/TozaotMichrazim/resultsDetailed.aspx?id=85412&amp;rc=557&amp;tr=1693" TargetMode="External"/><Relationship Id="rId980" Type="http://schemas.openxmlformats.org/officeDocument/2006/relationships/hyperlink" Target="http://www.land.gov.il/TozaotMichrazim/resultsDetailed.aspx?id=82884&amp;rc=983&amp;tr=1693" TargetMode="External"/><Relationship Id="rId1056" Type="http://schemas.openxmlformats.org/officeDocument/2006/relationships/hyperlink" Target="http://www.land.gov.il/TozaotMichrazim/resultsDetailed.aspx?id=82975&amp;rc=1074&amp;tr=1693" TargetMode="External"/><Relationship Id="rId1263" Type="http://schemas.openxmlformats.org/officeDocument/2006/relationships/hyperlink" Target="http://www.land.gov.il/TozaotMichrazim/resultsDetailed.aspx?id=79336&amp;rc=1316&amp;tr=1693" TargetMode="External"/><Relationship Id="rId2107" Type="http://schemas.openxmlformats.org/officeDocument/2006/relationships/hyperlink" Target="http://www.land.gov.il/TozaotMichrazim/resultsDetailed.aspx?id=78035&amp;rc=23&amp;tr=100" TargetMode="External"/><Relationship Id="rId2314" Type="http://schemas.openxmlformats.org/officeDocument/2006/relationships/hyperlink" Target="http://www.land.gov.il/TozaotMichrazim/resultsDetailed.aspx?id=87683&amp;rc=261&amp;tr=424" TargetMode="External"/><Relationship Id="rId2661" Type="http://schemas.openxmlformats.org/officeDocument/2006/relationships/control" Target="../activeX/activeX122.xml"/><Relationship Id="rId2759" Type="http://schemas.openxmlformats.org/officeDocument/2006/relationships/control" Target="../activeX/activeX220.xml"/><Relationship Id="rId840" Type="http://schemas.openxmlformats.org/officeDocument/2006/relationships/hyperlink" Target="http://www.land.gov.il/TozaotMichrazim/resultsDetailed.aspx?id=82727&amp;rc=826&amp;tr=1693" TargetMode="External"/><Relationship Id="rId938" Type="http://schemas.openxmlformats.org/officeDocument/2006/relationships/hyperlink" Target="http://www.land.gov.il/TozaotMichrazim/resultsDetailed.aspx?id=82831&amp;rc=930&amp;tr=1693" TargetMode="External"/><Relationship Id="rId1470" Type="http://schemas.openxmlformats.org/officeDocument/2006/relationships/hyperlink" Target="http://www.land.gov.il/TozaotMichrazim/resultsDetailed.aspx?id=81690&amp;rc=59&amp;tr=421" TargetMode="External"/><Relationship Id="rId1568" Type="http://schemas.openxmlformats.org/officeDocument/2006/relationships/hyperlink" Target="http://www.land.gov.il/TozaotMichrazim/resultsDetailed.aspx?id=86464&amp;rc=55&amp;tr=674" TargetMode="External"/><Relationship Id="rId1775" Type="http://schemas.openxmlformats.org/officeDocument/2006/relationships/hyperlink" Target="http://www.land.gov.il/TozaotMichrazim/resultsDetailed.aspx?id=81356&amp;rc=289&amp;tr=674" TargetMode="External"/><Relationship Id="rId2521" Type="http://schemas.openxmlformats.org/officeDocument/2006/relationships/hyperlink" Target="http://www.land.gov.il/TozaotMichrazim/resultsDetailed.aspx?id=68501&amp;rc=73&amp;tr=87" TargetMode="External"/><Relationship Id="rId2619" Type="http://schemas.openxmlformats.org/officeDocument/2006/relationships/control" Target="../activeX/activeX80.xml"/><Relationship Id="rId67" Type="http://schemas.openxmlformats.org/officeDocument/2006/relationships/hyperlink" Target="http://www.land.gov.il/TozaotMichrazim/resultsDetailed.aspx?id=84650&amp;rc=61&amp;tr=685" TargetMode="External"/><Relationship Id="rId700" Type="http://schemas.openxmlformats.org/officeDocument/2006/relationships/hyperlink" Target="http://www.land.gov.il/TozaotMichrazim/resultsDetailed.aspx?id=85489&amp;rc=634&amp;tr=1693" TargetMode="External"/><Relationship Id="rId1123" Type="http://schemas.openxmlformats.org/officeDocument/2006/relationships/hyperlink" Target="http://www.land.gov.il/TozaotMichrazim/resultsDetailed.aspx?id=83054&amp;rc=1153&amp;tr=1693" TargetMode="External"/><Relationship Id="rId1330" Type="http://schemas.openxmlformats.org/officeDocument/2006/relationships/hyperlink" Target="http://www.land.gov.il/TozaotMichrazim/resultsDetailed.aspx?id=76231&amp;rc=1383&amp;tr=1693" TargetMode="External"/><Relationship Id="rId1428" Type="http://schemas.openxmlformats.org/officeDocument/2006/relationships/hyperlink" Target="http://www.land.gov.il/TozaotMichrazim/resultsDetailed.aspx?id=87241&amp;rc=15&amp;tr=421" TargetMode="External"/><Relationship Id="rId1635" Type="http://schemas.openxmlformats.org/officeDocument/2006/relationships/hyperlink" Target="http://www.land.gov.il/TozaotMichrazim/resultsDetailed.aspx?id=86531&amp;rc=122&amp;tr=674" TargetMode="External"/><Relationship Id="rId1982" Type="http://schemas.openxmlformats.org/officeDocument/2006/relationships/hyperlink" Target="http://www.land.gov.il/TozaotMichrazim/resultsDetailed.aspx?id=87129&amp;rc=3&amp;tr=440" TargetMode="External"/><Relationship Id="rId1842" Type="http://schemas.openxmlformats.org/officeDocument/2006/relationships/hyperlink" Target="http://www.land.gov.il/TozaotMichrazim/resultsDetailed.aspx?id=79922&amp;rc=358&amp;tr=674" TargetMode="External"/><Relationship Id="rId1702" Type="http://schemas.openxmlformats.org/officeDocument/2006/relationships/hyperlink" Target="http://www.land.gov.il/TozaotMichrazim/resultsDetailed.aspx?id=81278&amp;rc=211&amp;tr=674" TargetMode="External"/><Relationship Id="rId283" Type="http://schemas.openxmlformats.org/officeDocument/2006/relationships/hyperlink" Target="http://www.land.gov.il/TozaotMichrazim/resultsDetailed.aspx?id=85009&amp;rc=154&amp;tr=1693" TargetMode="External"/><Relationship Id="rId490" Type="http://schemas.openxmlformats.org/officeDocument/2006/relationships/hyperlink" Target="http://www.land.gov.il/TozaotMichrazim/resultsDetailed.aspx?id=85227&amp;rc=372&amp;tr=1693" TargetMode="External"/><Relationship Id="rId2171" Type="http://schemas.openxmlformats.org/officeDocument/2006/relationships/hyperlink" Target="http://www.land.gov.il/PirsumMichrazim/Aspx/pirsumDetails.aspx?id=3782016%E7%E9&amp;rc=1&amp;tr=3" TargetMode="External"/><Relationship Id="rId143" Type="http://schemas.openxmlformats.org/officeDocument/2006/relationships/hyperlink" Target="http://www.land.gov.il/TozaotMichrazim/resultsDetailed.aspx?id=76558&amp;rc=145&amp;tr=685" TargetMode="External"/><Relationship Id="rId350" Type="http://schemas.openxmlformats.org/officeDocument/2006/relationships/hyperlink" Target="http://www.land.gov.il/TozaotMichrazim/resultsDetailed.aspx?id=85076&amp;rc=221&amp;tr=1693" TargetMode="External"/><Relationship Id="rId588" Type="http://schemas.openxmlformats.org/officeDocument/2006/relationships/hyperlink" Target="http://www.land.gov.il/TozaotMichrazim/resultsDetailed.aspx?id=85347&amp;rc=492&amp;tr=1693" TargetMode="External"/><Relationship Id="rId795" Type="http://schemas.openxmlformats.org/officeDocument/2006/relationships/hyperlink" Target="http://www.land.gov.il/TozaotMichrazim/resultsDetailed.aspx?id=82662&amp;rc=761&amp;tr=1693" TargetMode="External"/><Relationship Id="rId2031" Type="http://schemas.openxmlformats.org/officeDocument/2006/relationships/hyperlink" Target="http://www.land.gov.il/TozaotMichrazim/resultsDetailed.aspx?id=79132&amp;rc=57&amp;tr=440" TargetMode="External"/><Relationship Id="rId2269" Type="http://schemas.openxmlformats.org/officeDocument/2006/relationships/hyperlink" Target="http://www.land.gov.il/TozaotMichrazim/resultsDetailed.aspx?id=87776&amp;rc=215&amp;tr=424" TargetMode="External"/><Relationship Id="rId2476" Type="http://schemas.openxmlformats.org/officeDocument/2006/relationships/hyperlink" Target="http://www.land.gov.il/TozaotMichrazim/resultsDetailed.aspx?id=83598&amp;rc=28&amp;tr=87" TargetMode="External"/><Relationship Id="rId2683" Type="http://schemas.openxmlformats.org/officeDocument/2006/relationships/control" Target="../activeX/activeX144.xml"/><Relationship Id="rId9" Type="http://schemas.openxmlformats.org/officeDocument/2006/relationships/hyperlink" Target="http://www.land.gov.il/TozaotMichrazim/resultsDetailed.aspx?id=84864&amp;rc=3&amp;tr=685" TargetMode="External"/><Relationship Id="rId210" Type="http://schemas.openxmlformats.org/officeDocument/2006/relationships/hyperlink" Target="http://www.land.gov.il/TozaotMichrazim/resultsDetailed.aspx?id=84931&amp;rc=76&amp;tr=1693" TargetMode="External"/><Relationship Id="rId448" Type="http://schemas.openxmlformats.org/officeDocument/2006/relationships/hyperlink" Target="http://www.land.gov.il/TozaotMichrazim/resultsDetailed.aspx?id=85184&amp;rc=329&amp;tr=1693" TargetMode="External"/><Relationship Id="rId655" Type="http://schemas.openxmlformats.org/officeDocument/2006/relationships/hyperlink" Target="http://www.land.gov.il/TozaotMichrazim/resultsDetailed.aspx?id=85438&amp;rc=583&amp;tr=1693" TargetMode="External"/><Relationship Id="rId862" Type="http://schemas.openxmlformats.org/officeDocument/2006/relationships/hyperlink" Target="http://www.land.gov.il/TozaotMichrazim/resultsDetailed.aspx?id=82750&amp;rc=849&amp;tr=1693" TargetMode="External"/><Relationship Id="rId1078" Type="http://schemas.openxmlformats.org/officeDocument/2006/relationships/hyperlink" Target="http://www.land.gov.il/TozaotMichrazim/resultsDetailed.aspx?id=83004&amp;rc=1103&amp;tr=1693" TargetMode="External"/><Relationship Id="rId1285" Type="http://schemas.openxmlformats.org/officeDocument/2006/relationships/hyperlink" Target="http://www.land.gov.il/TozaotMichrazim/resultsDetailed.aspx?id=79358&amp;rc=1338&amp;tr=1693" TargetMode="External"/><Relationship Id="rId1492" Type="http://schemas.openxmlformats.org/officeDocument/2006/relationships/hyperlink" Target="http://www.land.gov.il/TozaotMichrazim/resultsDetailed.aspx?id=80126&amp;rc=88&amp;tr=421" TargetMode="External"/><Relationship Id="rId2129" Type="http://schemas.openxmlformats.org/officeDocument/2006/relationships/hyperlink" Target="http://www.land.gov.il/IturTabot2/taba2.aspx?tbMerchav=603&amp;tUniqueID=0&amp;sSug=~&amp;tblView=tblView_32a3ac27512f&amp;tbMsTochnit=605-0225284" TargetMode="External"/><Relationship Id="rId2336" Type="http://schemas.openxmlformats.org/officeDocument/2006/relationships/hyperlink" Target="http://www.land.gov.il/TozaotMichrazim/resultsDetailed.aspx?id=87705&amp;rc=283&amp;tr=424" TargetMode="External"/><Relationship Id="rId2543" Type="http://schemas.openxmlformats.org/officeDocument/2006/relationships/control" Target="../activeX/activeX4.xml"/><Relationship Id="rId2750" Type="http://schemas.openxmlformats.org/officeDocument/2006/relationships/control" Target="../activeX/activeX211.xml"/><Relationship Id="rId308" Type="http://schemas.openxmlformats.org/officeDocument/2006/relationships/hyperlink" Target="http://www.land.gov.il/TozaotMichrazim/resultsDetailed.aspx?id=85034&amp;rc=179&amp;tr=1693" TargetMode="External"/><Relationship Id="rId515" Type="http://schemas.openxmlformats.org/officeDocument/2006/relationships/hyperlink" Target="http://www.land.gov.il/TozaotMichrazim/resultsDetailed.aspx?id=85264&amp;rc=409&amp;tr=1693" TargetMode="External"/><Relationship Id="rId722" Type="http://schemas.openxmlformats.org/officeDocument/2006/relationships/hyperlink" Target="http://www.land.gov.il/TozaotMichrazim/resultsDetailed.aspx?id=85514&amp;rc=659&amp;tr=1693" TargetMode="External"/><Relationship Id="rId1145" Type="http://schemas.openxmlformats.org/officeDocument/2006/relationships/hyperlink" Target="http://www.land.gov.il/TozaotMichrazim/resultsDetailed.aspx?id=83078&amp;rc=1177&amp;tr=1693" TargetMode="External"/><Relationship Id="rId1352" Type="http://schemas.openxmlformats.org/officeDocument/2006/relationships/hyperlink" Target="http://www.land.gov.il/TozaotMichrazim/resultsDetailed.aspx?id=76253&amp;rc=1405&amp;tr=1693" TargetMode="External"/><Relationship Id="rId1797" Type="http://schemas.openxmlformats.org/officeDocument/2006/relationships/hyperlink" Target="http://www.land.gov.il/TozaotMichrazim/resultsDetailed.aspx?id=81380&amp;rc=313&amp;tr=674" TargetMode="External"/><Relationship Id="rId2403" Type="http://schemas.openxmlformats.org/officeDocument/2006/relationships/hyperlink" Target="http://www.land.gov.il/TozaotMichrazim/resultsDetailed.aspx?id=87308&amp;rc=354&amp;tr=424" TargetMode="External"/><Relationship Id="rId89" Type="http://schemas.openxmlformats.org/officeDocument/2006/relationships/hyperlink" Target="http://www.land.gov.il/TozaotMichrazim/resultsDetailed.aspx?id=84672&amp;rc=83&amp;tr=685" TargetMode="External"/><Relationship Id="rId1005" Type="http://schemas.openxmlformats.org/officeDocument/2006/relationships/hyperlink" Target="http://www.land.gov.il/TozaotMichrazim/resultsDetailed.aspx?id=82915&amp;rc=1014&amp;tr=1693" TargetMode="External"/><Relationship Id="rId1212" Type="http://schemas.openxmlformats.org/officeDocument/2006/relationships/hyperlink" Target="http://www.land.gov.il/TozaotMichrazim/resultsDetailed.aspx?id=83154&amp;rc=1253&amp;tr=1693" TargetMode="External"/><Relationship Id="rId1657" Type="http://schemas.openxmlformats.org/officeDocument/2006/relationships/hyperlink" Target="http://www.land.gov.il/TozaotMichrazim/resultsDetailed.aspx?id=86389&amp;rc=144&amp;tr=674" TargetMode="External"/><Relationship Id="rId1864" Type="http://schemas.openxmlformats.org/officeDocument/2006/relationships/hyperlink" Target="http://www.land.gov.il/TozaotMichrazim/resultsDetailed.aspx?id=79944&amp;rc=380&amp;tr=674" TargetMode="External"/><Relationship Id="rId2610" Type="http://schemas.openxmlformats.org/officeDocument/2006/relationships/control" Target="../activeX/activeX71.xml"/><Relationship Id="rId2708" Type="http://schemas.openxmlformats.org/officeDocument/2006/relationships/control" Target="../activeX/activeX169.xml"/><Relationship Id="rId1517" Type="http://schemas.openxmlformats.org/officeDocument/2006/relationships/hyperlink" Target="http://www.land.gov.il/TozaotMichrazim/resultsDetailed.aspx?id=86660&amp;rc=4&amp;tr=674" TargetMode="External"/><Relationship Id="rId1724" Type="http://schemas.openxmlformats.org/officeDocument/2006/relationships/hyperlink" Target="http://www.land.gov.il/TozaotMichrazim/resultsDetailed.aspx?id=81303&amp;rc=236&amp;tr=674" TargetMode="External"/><Relationship Id="rId16" Type="http://schemas.openxmlformats.org/officeDocument/2006/relationships/hyperlink" Target="http://www.land.gov.il/TozaotMichrazim/resultsDetailed.aspx?id=84738&amp;rc=10&amp;tr=685" TargetMode="External"/><Relationship Id="rId1931" Type="http://schemas.openxmlformats.org/officeDocument/2006/relationships/hyperlink" Target="http://www.land.gov.il/TozaotMichrazim/resultsDetailed.aspx?id=76960&amp;rc=462&amp;tr=674" TargetMode="External"/><Relationship Id="rId2193" Type="http://schemas.openxmlformats.org/officeDocument/2006/relationships/hyperlink" Target="http://www.land.gov.il/PirsumMichrazim/Aspx/pirsumDetails.aspx?id=3192015%E1%F9&amp;rc=17&amp;tr=196" TargetMode="External"/><Relationship Id="rId2498" Type="http://schemas.openxmlformats.org/officeDocument/2006/relationships/hyperlink" Target="http://www.land.gov.il/TozaotMichrazim/resultsDetailed.aspx?id=71525&amp;rc=50&amp;tr=87" TargetMode="External"/><Relationship Id="rId165" Type="http://schemas.openxmlformats.org/officeDocument/2006/relationships/hyperlink" Target="http://www.land.gov.il/TozaotMichrazim/resultsDetailed.aspx?id=84885&amp;rc=30&amp;tr=1693" TargetMode="External"/><Relationship Id="rId372" Type="http://schemas.openxmlformats.org/officeDocument/2006/relationships/hyperlink" Target="http://www.land.gov.il/TozaotMichrazim/resultsDetailed.aspx?id=85098&amp;rc=243&amp;tr=1693" TargetMode="External"/><Relationship Id="rId677" Type="http://schemas.openxmlformats.org/officeDocument/2006/relationships/hyperlink" Target="http://www.land.gov.il/TozaotMichrazim/resultsDetailed.aspx?id=85463&amp;rc=608&amp;tr=1693" TargetMode="External"/><Relationship Id="rId2053" Type="http://schemas.openxmlformats.org/officeDocument/2006/relationships/hyperlink" Target="http://www.land.gov.il/TozaotMichrazim/resultsDetailed.aspx?id=86074&amp;rc=2&amp;tr=177" TargetMode="External"/><Relationship Id="rId2260" Type="http://schemas.openxmlformats.org/officeDocument/2006/relationships/hyperlink" Target="http://www.land.gov.il/TozaotMichrazim/resultsDetailed.aspx?id=87765&amp;rc=205&amp;tr=424" TargetMode="External"/><Relationship Id="rId2358" Type="http://schemas.openxmlformats.org/officeDocument/2006/relationships/hyperlink" Target="http://www.land.gov.il/TozaotMichrazim/resultsDetailed.aspx?id=87727&amp;rc=305&amp;tr=424" TargetMode="External"/><Relationship Id="rId232" Type="http://schemas.openxmlformats.org/officeDocument/2006/relationships/hyperlink" Target="http://www.land.gov.il/TozaotMichrazim/resultsDetailed.aspx?id=84953&amp;rc=98&amp;tr=1693" TargetMode="External"/><Relationship Id="rId884" Type="http://schemas.openxmlformats.org/officeDocument/2006/relationships/hyperlink" Target="http://www.land.gov.il/TozaotMichrazim/resultsDetailed.aspx?id=82773&amp;rc=872&amp;tr=1693" TargetMode="External"/><Relationship Id="rId2120" Type="http://schemas.openxmlformats.org/officeDocument/2006/relationships/hyperlink" Target="http://www.land.gov.il/IturTabot2/taba1.aspx?MisTochnit=%u05D1%u05E8/274&amp;Ishuv=2660" TargetMode="External"/><Relationship Id="rId2565" Type="http://schemas.openxmlformats.org/officeDocument/2006/relationships/control" Target="../activeX/activeX26.xml"/><Relationship Id="rId2772" Type="http://schemas.openxmlformats.org/officeDocument/2006/relationships/control" Target="../activeX/activeX233.xml"/><Relationship Id="rId537" Type="http://schemas.openxmlformats.org/officeDocument/2006/relationships/hyperlink" Target="http://www.land.gov.il/TozaotMichrazim/resultsDetailed.aspx?id=85289&amp;rc=434&amp;tr=1693" TargetMode="External"/><Relationship Id="rId744" Type="http://schemas.openxmlformats.org/officeDocument/2006/relationships/hyperlink" Target="http://www.land.gov.il/TozaotMichrazim/resultsDetailed.aspx?id=85551&amp;rc=696&amp;tr=1693" TargetMode="External"/><Relationship Id="rId951" Type="http://schemas.openxmlformats.org/officeDocument/2006/relationships/hyperlink" Target="http://www.land.gov.il/TozaotMichrazim/resultsDetailed.aspx?id=82845&amp;rc=944&amp;tr=1693" TargetMode="External"/><Relationship Id="rId1167" Type="http://schemas.openxmlformats.org/officeDocument/2006/relationships/hyperlink" Target="http://www.land.gov.il/TozaotMichrazim/resultsDetailed.aspx?id=83106&amp;rc=1205&amp;tr=1693" TargetMode="External"/><Relationship Id="rId1374" Type="http://schemas.openxmlformats.org/officeDocument/2006/relationships/hyperlink" Target="http://www.land.gov.il/TozaotMichrazim/resultsDetailed.aspx?id=76275&amp;rc=1427&amp;tr=1693" TargetMode="External"/><Relationship Id="rId1581" Type="http://schemas.openxmlformats.org/officeDocument/2006/relationships/hyperlink" Target="http://www.land.gov.il/TozaotMichrazim/resultsDetailed.aspx?id=86477&amp;rc=68&amp;tr=674" TargetMode="External"/><Relationship Id="rId1679" Type="http://schemas.openxmlformats.org/officeDocument/2006/relationships/hyperlink" Target="http://www.land.gov.il/TozaotMichrazim/resultsDetailed.aspx?id=84591&amp;rc=169&amp;tr=674" TargetMode="External"/><Relationship Id="rId2218" Type="http://schemas.openxmlformats.org/officeDocument/2006/relationships/hyperlink" Target="http://land.gov.il/TozaotMichrazim/Results.aspx?NewSearch=true&amp;ynmichraz=2013&amp;anMichraz=%e7%e9&amp;Nnmichraz=325" TargetMode="External"/><Relationship Id="rId2425" Type="http://schemas.openxmlformats.org/officeDocument/2006/relationships/hyperlink" Target="http://www.land.gov.il/TozaotMichrazim/resultsDetailed.aspx?id=87257&amp;rc=394&amp;tr=424" TargetMode="External"/><Relationship Id="rId2632" Type="http://schemas.openxmlformats.org/officeDocument/2006/relationships/control" Target="../activeX/activeX93.xml"/><Relationship Id="rId80" Type="http://schemas.openxmlformats.org/officeDocument/2006/relationships/hyperlink" Target="http://www.land.gov.il/TozaotMichrazim/resultsDetailed.aspx?id=84663&amp;rc=74&amp;tr=685" TargetMode="External"/><Relationship Id="rId604" Type="http://schemas.openxmlformats.org/officeDocument/2006/relationships/hyperlink" Target="http://www.land.gov.il/TozaotMichrazim/resultsDetailed.aspx?id=85376&amp;rc=521&amp;tr=1693" TargetMode="External"/><Relationship Id="rId811" Type="http://schemas.openxmlformats.org/officeDocument/2006/relationships/hyperlink" Target="http://www.land.gov.il/TozaotMichrazim/resultsDetailed.aspx?id=82686&amp;rc=785&amp;tr=1693" TargetMode="External"/><Relationship Id="rId1027" Type="http://schemas.openxmlformats.org/officeDocument/2006/relationships/hyperlink" Target="http://www.land.gov.il/TozaotMichrazim/resultsDetailed.aspx?id=82939&amp;rc=1038&amp;tr=1693" TargetMode="External"/><Relationship Id="rId1234" Type="http://schemas.openxmlformats.org/officeDocument/2006/relationships/hyperlink" Target="http://www.land.gov.il/TozaotMichrazim/resultsDetailed.aspx?id=83186&amp;rc=1285&amp;tr=1693" TargetMode="External"/><Relationship Id="rId1441" Type="http://schemas.openxmlformats.org/officeDocument/2006/relationships/hyperlink" Target="http://www.land.gov.il/TozaotMichrazim/resultsDetailed.aspx?id=87254&amp;rc=28&amp;tr=421" TargetMode="External"/><Relationship Id="rId1886" Type="http://schemas.openxmlformats.org/officeDocument/2006/relationships/hyperlink" Target="http://www.land.gov.il/TozaotMichrazim/resultsDetailed.aspx?id=79382&amp;rc=402&amp;tr=674" TargetMode="External"/><Relationship Id="rId909" Type="http://schemas.openxmlformats.org/officeDocument/2006/relationships/hyperlink" Target="http://www.land.gov.il/TozaotMichrazim/resultsDetailed.aspx?id=82799&amp;rc=898&amp;tr=1693" TargetMode="External"/><Relationship Id="rId1301" Type="http://schemas.openxmlformats.org/officeDocument/2006/relationships/hyperlink" Target="http://www.land.gov.il/TozaotMichrazim/resultsDetailed.aspx?id=78777&amp;rc=1354&amp;tr=1693" TargetMode="External"/><Relationship Id="rId1539" Type="http://schemas.openxmlformats.org/officeDocument/2006/relationships/hyperlink" Target="http://www.land.gov.il/TozaotMichrazim/resultsDetailed.aspx?id=86435&amp;rc=26&amp;tr=674" TargetMode="External"/><Relationship Id="rId1746" Type="http://schemas.openxmlformats.org/officeDocument/2006/relationships/hyperlink" Target="http://www.land.gov.il/TozaotMichrazim/resultsDetailed.aspx?id=81326&amp;rc=259&amp;tr=674" TargetMode="External"/><Relationship Id="rId1953" Type="http://schemas.openxmlformats.org/officeDocument/2006/relationships/hyperlink" Target="http://www.land.gov.il/TozaotMichrazim/resultsDetailed.aspx?id=76987&amp;rc=489&amp;tr=674" TargetMode="External"/><Relationship Id="rId38" Type="http://schemas.openxmlformats.org/officeDocument/2006/relationships/hyperlink" Target="http://www.land.gov.il/TozaotMichrazim/resultsDetailed.aspx?id=84621&amp;rc=32&amp;tr=685" TargetMode="External"/><Relationship Id="rId1606" Type="http://schemas.openxmlformats.org/officeDocument/2006/relationships/hyperlink" Target="http://www.land.gov.il/TozaotMichrazim/resultsDetailed.aspx?id=86502&amp;rc=93&amp;tr=674" TargetMode="External"/><Relationship Id="rId1813" Type="http://schemas.openxmlformats.org/officeDocument/2006/relationships/hyperlink" Target="http://www.land.gov.il/TozaotMichrazim/resultsDetailed.aspx?id=81396&amp;rc=329&amp;tr=674" TargetMode="External"/><Relationship Id="rId187" Type="http://schemas.openxmlformats.org/officeDocument/2006/relationships/hyperlink" Target="http://www.land.gov.il/TozaotMichrazim/resultsDetailed.aspx?id=84907&amp;rc=52&amp;tr=1693" TargetMode="External"/><Relationship Id="rId394" Type="http://schemas.openxmlformats.org/officeDocument/2006/relationships/hyperlink" Target="http://www.land.gov.il/TozaotMichrazim/resultsDetailed.aspx?id=85121&amp;rc=266&amp;tr=1693" TargetMode="External"/><Relationship Id="rId2075" Type="http://schemas.openxmlformats.org/officeDocument/2006/relationships/hyperlink" Target="http://www.land.gov.il/TozaotMichrazim/resultsDetailed.aspx?id=87056&amp;rc=16&amp;tr=115" TargetMode="External"/><Relationship Id="rId2282" Type="http://schemas.openxmlformats.org/officeDocument/2006/relationships/hyperlink" Target="http://www.land.gov.il/TozaotMichrazim/resultsDetailed.aspx?id=87651&amp;rc=229&amp;tr=424" TargetMode="External"/><Relationship Id="rId254" Type="http://schemas.openxmlformats.org/officeDocument/2006/relationships/hyperlink" Target="http://www.land.gov.il/TozaotMichrazim/resultsDetailed.aspx?id=84980&amp;rc=125&amp;tr=1693" TargetMode="External"/><Relationship Id="rId699" Type="http://schemas.openxmlformats.org/officeDocument/2006/relationships/hyperlink" Target="http://www.land.gov.il/TozaotMichrazim/resultsDetailed.aspx?id=85488&amp;rc=633&amp;tr=1693" TargetMode="External"/><Relationship Id="rId1091" Type="http://schemas.openxmlformats.org/officeDocument/2006/relationships/hyperlink" Target="http://www.land.gov.il/TozaotMichrazim/resultsDetailed.aspx?id=83019&amp;rc=1118&amp;tr=1693" TargetMode="External"/><Relationship Id="rId2587" Type="http://schemas.openxmlformats.org/officeDocument/2006/relationships/control" Target="../activeX/activeX48.xml"/><Relationship Id="rId2794" Type="http://schemas.openxmlformats.org/officeDocument/2006/relationships/control" Target="../activeX/activeX255.xml"/><Relationship Id="rId114" Type="http://schemas.openxmlformats.org/officeDocument/2006/relationships/hyperlink" Target="http://www.land.gov.il/TozaotMichrazim/resultsDetailed.aspx?id=81798&amp;rc=108&amp;tr=685" TargetMode="External"/><Relationship Id="rId461" Type="http://schemas.openxmlformats.org/officeDocument/2006/relationships/hyperlink" Target="http://www.land.gov.il/TozaotMichrazim/resultsDetailed.aspx?id=85197&amp;rc=342&amp;tr=1693" TargetMode="External"/><Relationship Id="rId559" Type="http://schemas.openxmlformats.org/officeDocument/2006/relationships/hyperlink" Target="http://www.land.gov.il/TozaotMichrazim/resultsDetailed.aspx?id=85316&amp;rc=461&amp;tr=1693" TargetMode="External"/><Relationship Id="rId766" Type="http://schemas.openxmlformats.org/officeDocument/2006/relationships/hyperlink" Target="http://www.land.gov.il/TozaotMichrazim/resultsDetailed.aspx?id=84598&amp;rc=722&amp;tr=1693" TargetMode="External"/><Relationship Id="rId1189" Type="http://schemas.openxmlformats.org/officeDocument/2006/relationships/hyperlink" Target="http://www.land.gov.il/TozaotMichrazim/resultsDetailed.aspx?id=83128&amp;rc=1227&amp;tr=1693" TargetMode="External"/><Relationship Id="rId1396" Type="http://schemas.openxmlformats.org/officeDocument/2006/relationships/hyperlink" Target="http://www.land.gov.il/TozaotMichrazim/resultsDetailed.aspx?id=84821&amp;rc=5&amp;tr=79" TargetMode="External"/><Relationship Id="rId2142" Type="http://schemas.openxmlformats.org/officeDocument/2006/relationships/hyperlink" Target="http://www.land.gov.il/shivukweb/pages/Prj_roshA.html" TargetMode="External"/><Relationship Id="rId2447" Type="http://schemas.openxmlformats.org/officeDocument/2006/relationships/hyperlink" Target="http://www.land.gov.il/TozaotMichrazim/resultsDetailed.aspx?id=87330&amp;rc=423&amp;tr=424" TargetMode="External"/><Relationship Id="rId321" Type="http://schemas.openxmlformats.org/officeDocument/2006/relationships/hyperlink" Target="http://www.land.gov.il/TozaotMichrazim/resultsDetailed.aspx?id=85047&amp;rc=192&amp;tr=1693" TargetMode="External"/><Relationship Id="rId419" Type="http://schemas.openxmlformats.org/officeDocument/2006/relationships/hyperlink" Target="http://www.land.gov.il/TozaotMichrazim/resultsDetailed.aspx?id=85155&amp;rc=300&amp;tr=1693" TargetMode="External"/><Relationship Id="rId626" Type="http://schemas.openxmlformats.org/officeDocument/2006/relationships/hyperlink" Target="http://www.land.gov.il/TozaotMichrazim/resultsDetailed.aspx?id=85402&amp;rc=547&amp;tr=1693" TargetMode="External"/><Relationship Id="rId973" Type="http://schemas.openxmlformats.org/officeDocument/2006/relationships/hyperlink" Target="http://www.land.gov.il/TozaotMichrazim/resultsDetailed.aspx?id=82873&amp;rc=972&amp;tr=1693" TargetMode="External"/><Relationship Id="rId1049" Type="http://schemas.openxmlformats.org/officeDocument/2006/relationships/hyperlink" Target="http://www.land.gov.il/TozaotMichrazim/resultsDetailed.aspx?id=82965&amp;rc=1064&amp;tr=1693" TargetMode="External"/><Relationship Id="rId1256" Type="http://schemas.openxmlformats.org/officeDocument/2006/relationships/hyperlink" Target="http://www.land.gov.il/TozaotMichrazim/resultsDetailed.aspx?id=79329&amp;rc=1309&amp;tr=1693" TargetMode="External"/><Relationship Id="rId2002" Type="http://schemas.openxmlformats.org/officeDocument/2006/relationships/hyperlink" Target="http://www.land.gov.il/TozaotMichrazim/resultsDetailed.aspx?id=83628&amp;rc=25&amp;tr=440" TargetMode="External"/><Relationship Id="rId2307" Type="http://schemas.openxmlformats.org/officeDocument/2006/relationships/hyperlink" Target="http://www.land.gov.il/TozaotMichrazim/resultsDetailed.aspx?id=87676&amp;rc=254&amp;tr=424" TargetMode="External"/><Relationship Id="rId2654" Type="http://schemas.openxmlformats.org/officeDocument/2006/relationships/control" Target="../activeX/activeX115.xml"/><Relationship Id="rId833" Type="http://schemas.openxmlformats.org/officeDocument/2006/relationships/hyperlink" Target="http://www.land.gov.il/TozaotMichrazim/resultsDetailed.aspx?id=82719&amp;rc=818&amp;tr=1693" TargetMode="External"/><Relationship Id="rId1116" Type="http://schemas.openxmlformats.org/officeDocument/2006/relationships/hyperlink" Target="http://www.land.gov.il/TozaotMichrazim/resultsDetailed.aspx?id=83046&amp;rc=1145&amp;tr=1693" TargetMode="External"/><Relationship Id="rId1463" Type="http://schemas.openxmlformats.org/officeDocument/2006/relationships/hyperlink" Target="http://www.land.gov.il/TozaotMichrazim/resultsDetailed.aspx?id=81922&amp;rc=52&amp;tr=421" TargetMode="External"/><Relationship Id="rId1670" Type="http://schemas.openxmlformats.org/officeDocument/2006/relationships/hyperlink" Target="http://www.land.gov.il/TozaotMichrazim/resultsDetailed.aspx?id=84698&amp;rc=160&amp;tr=674" TargetMode="External"/><Relationship Id="rId1768" Type="http://schemas.openxmlformats.org/officeDocument/2006/relationships/hyperlink" Target="http://www.land.gov.il/TozaotMichrazim/resultsDetailed.aspx?id=81348&amp;rc=281&amp;tr=674" TargetMode="External"/><Relationship Id="rId2514" Type="http://schemas.openxmlformats.org/officeDocument/2006/relationships/hyperlink" Target="http://www.land.gov.il/TozaotMichrazim/resultsDetailed.aspx?id=71354&amp;rc=66&amp;tr=87" TargetMode="External"/><Relationship Id="rId2721" Type="http://schemas.openxmlformats.org/officeDocument/2006/relationships/control" Target="../activeX/activeX182.xml"/><Relationship Id="rId900" Type="http://schemas.openxmlformats.org/officeDocument/2006/relationships/hyperlink" Target="http://www.land.gov.il/TozaotMichrazim/resultsDetailed.aspx?id=82790&amp;rc=889&amp;tr=1693" TargetMode="External"/><Relationship Id="rId1323" Type="http://schemas.openxmlformats.org/officeDocument/2006/relationships/hyperlink" Target="http://www.land.gov.il/TozaotMichrazim/resultsDetailed.aspx?id=76224&amp;rc=1376&amp;tr=1693" TargetMode="External"/><Relationship Id="rId1530" Type="http://schemas.openxmlformats.org/officeDocument/2006/relationships/hyperlink" Target="http://www.land.gov.il/TozaotMichrazim/resultsDetailed.aspx?id=86426&amp;rc=17&amp;tr=674" TargetMode="External"/><Relationship Id="rId1628" Type="http://schemas.openxmlformats.org/officeDocument/2006/relationships/hyperlink" Target="http://www.land.gov.il/TozaotMichrazim/resultsDetailed.aspx?id=86524&amp;rc=115&amp;tr=674" TargetMode="External"/><Relationship Id="rId1975" Type="http://schemas.openxmlformats.org/officeDocument/2006/relationships/hyperlink" Target="http://www.land.gov.il/TozaotMichrazim/resultsDetailed.aspx?id=75022&amp;rc=512&amp;tr=674" TargetMode="External"/><Relationship Id="rId1835" Type="http://schemas.openxmlformats.org/officeDocument/2006/relationships/hyperlink" Target="http://www.land.gov.il/TozaotMichrazim/resultsDetailed.aspx?id=79915&amp;rc=351&amp;tr=674" TargetMode="External"/><Relationship Id="rId1902" Type="http://schemas.openxmlformats.org/officeDocument/2006/relationships/hyperlink" Target="http://www.land.gov.il/TozaotMichrazim/resultsDetailed.aspx?id=79398&amp;rc=418&amp;tr=674" TargetMode="External"/><Relationship Id="rId2097" Type="http://schemas.openxmlformats.org/officeDocument/2006/relationships/hyperlink" Target="http://www.land.gov.il/TozaotMichrazim/resultsDetailed.aspx?id=83872&amp;rc=13&amp;tr=100" TargetMode="External"/><Relationship Id="rId276" Type="http://schemas.openxmlformats.org/officeDocument/2006/relationships/hyperlink" Target="http://www.land.gov.il/TozaotMichrazim/resultsDetailed.aspx?id=85002&amp;rc=147&amp;tr=1693" TargetMode="External"/><Relationship Id="rId483" Type="http://schemas.openxmlformats.org/officeDocument/2006/relationships/hyperlink" Target="http://www.land.gov.il/TozaotMichrazim/resultsDetailed.aspx?id=85220&amp;rc=365&amp;tr=1693" TargetMode="External"/><Relationship Id="rId690" Type="http://schemas.openxmlformats.org/officeDocument/2006/relationships/hyperlink" Target="http://www.land.gov.il/TozaotMichrazim/resultsDetailed.aspx?id=85477&amp;rc=622&amp;tr=1693" TargetMode="External"/><Relationship Id="rId2164" Type="http://schemas.openxmlformats.org/officeDocument/2006/relationships/hyperlink" Target="http://www.land.gov.il/PirsumMichrazim/Aspx/pirsumDetails.aspx?id=2282016%EE%F8&amp;rc=4&amp;tr=6" TargetMode="External"/><Relationship Id="rId2371" Type="http://schemas.openxmlformats.org/officeDocument/2006/relationships/hyperlink" Target="http://www.land.gov.il/TozaotMichrazim/resultsDetailed.aspx?id=87740&amp;rc=318&amp;tr=424" TargetMode="External"/><Relationship Id="rId136" Type="http://schemas.openxmlformats.org/officeDocument/2006/relationships/hyperlink" Target="http://www.land.gov.il/TozaotMichrazim/resultsDetailed.aspx?id=77017&amp;rc=135&amp;tr=685" TargetMode="External"/><Relationship Id="rId343" Type="http://schemas.openxmlformats.org/officeDocument/2006/relationships/hyperlink" Target="http://www.land.gov.il/TozaotMichrazim/resultsDetailed.aspx?id=85069&amp;rc=214&amp;tr=1693" TargetMode="External"/><Relationship Id="rId550" Type="http://schemas.openxmlformats.org/officeDocument/2006/relationships/hyperlink" Target="http://www.land.gov.il/TozaotMichrazim/resultsDetailed.aspx?id=85305&amp;rc=450&amp;tr=1693" TargetMode="External"/><Relationship Id="rId788" Type="http://schemas.openxmlformats.org/officeDocument/2006/relationships/hyperlink" Target="http://www.land.gov.il/TozaotMichrazim/resultsDetailed.aspx?id=82654&amp;rc=753&amp;tr=1693" TargetMode="External"/><Relationship Id="rId995" Type="http://schemas.openxmlformats.org/officeDocument/2006/relationships/hyperlink" Target="http://www.land.gov.il/TozaotMichrazim/resultsDetailed.aspx?id=82904&amp;rc=1003&amp;tr=1693" TargetMode="External"/><Relationship Id="rId1180" Type="http://schemas.openxmlformats.org/officeDocument/2006/relationships/hyperlink" Target="http://www.land.gov.il/TozaotMichrazim/resultsDetailed.aspx?id=83119&amp;rc=1218&amp;tr=1693" TargetMode="External"/><Relationship Id="rId2024" Type="http://schemas.openxmlformats.org/officeDocument/2006/relationships/hyperlink" Target="http://www.land.gov.il/TozaotMichrazim/resultsDetailed.aspx?id=79125&amp;rc=50&amp;tr=440" TargetMode="External"/><Relationship Id="rId2231" Type="http://schemas.openxmlformats.org/officeDocument/2006/relationships/hyperlink" Target="http://www.land.gov.il/shivukweb/pages/Prj_neotafek.html" TargetMode="External"/><Relationship Id="rId2469" Type="http://schemas.openxmlformats.org/officeDocument/2006/relationships/hyperlink" Target="http://www.land.gov.il/TozaotMichrazim/resultsDetailed.aspx?id=85593&amp;rc=21&amp;tr=87" TargetMode="External"/><Relationship Id="rId2676" Type="http://schemas.openxmlformats.org/officeDocument/2006/relationships/control" Target="../activeX/activeX137.xml"/><Relationship Id="rId203" Type="http://schemas.openxmlformats.org/officeDocument/2006/relationships/hyperlink" Target="http://www.land.gov.il/TozaotMichrazim/resultsDetailed.aspx?id=84924&amp;rc=69&amp;tr=1693" TargetMode="External"/><Relationship Id="rId648" Type="http://schemas.openxmlformats.org/officeDocument/2006/relationships/hyperlink" Target="http://www.land.gov.il/TozaotMichrazim/resultsDetailed.aspx?id=85430&amp;rc=575&amp;tr=1693" TargetMode="External"/><Relationship Id="rId855" Type="http://schemas.openxmlformats.org/officeDocument/2006/relationships/hyperlink" Target="http://www.land.gov.il/TozaotMichrazim/resultsDetailed.aspx?id=82742&amp;rc=841&amp;tr=1693" TargetMode="External"/><Relationship Id="rId1040" Type="http://schemas.openxmlformats.org/officeDocument/2006/relationships/hyperlink" Target="http://www.land.gov.il/TozaotMichrazim/resultsDetailed.aspx?id=82956&amp;rc=1055&amp;tr=1693" TargetMode="External"/><Relationship Id="rId1278" Type="http://schemas.openxmlformats.org/officeDocument/2006/relationships/hyperlink" Target="http://www.land.gov.il/TozaotMichrazim/resultsDetailed.aspx?id=79351&amp;rc=1331&amp;tr=1693" TargetMode="External"/><Relationship Id="rId1485" Type="http://schemas.openxmlformats.org/officeDocument/2006/relationships/hyperlink" Target="http://www.land.gov.il/TozaotMichrazim/resultsDetailed.aspx?id=80119&amp;rc=81&amp;tr=421" TargetMode="External"/><Relationship Id="rId1692" Type="http://schemas.openxmlformats.org/officeDocument/2006/relationships/hyperlink" Target="http://www.land.gov.il/TozaotMichrazim/resultsDetailed.aspx?id=83385&amp;rc=200&amp;tr=674" TargetMode="External"/><Relationship Id="rId2329" Type="http://schemas.openxmlformats.org/officeDocument/2006/relationships/hyperlink" Target="http://www.land.gov.il/TozaotMichrazim/resultsDetailed.aspx?id=87698&amp;rc=276&amp;tr=424" TargetMode="External"/><Relationship Id="rId2536" Type="http://schemas.openxmlformats.org/officeDocument/2006/relationships/printerSettings" Target="../printerSettings/printerSettings3.bin"/><Relationship Id="rId2743" Type="http://schemas.openxmlformats.org/officeDocument/2006/relationships/control" Target="../activeX/activeX204.xml"/><Relationship Id="rId410" Type="http://schemas.openxmlformats.org/officeDocument/2006/relationships/hyperlink" Target="http://www.land.gov.il/TozaotMichrazim/resultsDetailed.aspx?id=85144&amp;rc=289&amp;tr=1693" TargetMode="External"/><Relationship Id="rId508" Type="http://schemas.openxmlformats.org/officeDocument/2006/relationships/hyperlink" Target="http://www.land.gov.il/TozaotMichrazim/resultsDetailed.aspx?id=85257&amp;rc=402&amp;tr=1693" TargetMode="External"/><Relationship Id="rId715" Type="http://schemas.openxmlformats.org/officeDocument/2006/relationships/hyperlink" Target="http://www.land.gov.il/TozaotMichrazim/resultsDetailed.aspx?id=85507&amp;rc=652&amp;tr=1693" TargetMode="External"/><Relationship Id="rId922" Type="http://schemas.openxmlformats.org/officeDocument/2006/relationships/hyperlink" Target="http://www.land.gov.il/TozaotMichrazim/resultsDetailed.aspx?id=82813&amp;rc=912&amp;tr=1693" TargetMode="External"/><Relationship Id="rId1138" Type="http://schemas.openxmlformats.org/officeDocument/2006/relationships/hyperlink" Target="http://www.land.gov.il/TozaotMichrazim/resultsDetailed.aspx?id=83071&amp;rc=1170&amp;tr=1693" TargetMode="External"/><Relationship Id="rId1345" Type="http://schemas.openxmlformats.org/officeDocument/2006/relationships/hyperlink" Target="http://www.land.gov.il/TozaotMichrazim/resultsDetailed.aspx?id=76246&amp;rc=1398&amp;tr=1693" TargetMode="External"/><Relationship Id="rId1552" Type="http://schemas.openxmlformats.org/officeDocument/2006/relationships/hyperlink" Target="http://www.land.gov.il/TozaotMichrazim/resultsDetailed.aspx?id=86448&amp;rc=39&amp;tr=674" TargetMode="External"/><Relationship Id="rId1997" Type="http://schemas.openxmlformats.org/officeDocument/2006/relationships/hyperlink" Target="http://www.land.gov.il/TozaotMichrazim/resultsDetailed.aspx?id=84227&amp;rc=18&amp;tr=440" TargetMode="External"/><Relationship Id="rId2603" Type="http://schemas.openxmlformats.org/officeDocument/2006/relationships/control" Target="../activeX/activeX64.xml"/><Relationship Id="rId1205" Type="http://schemas.openxmlformats.org/officeDocument/2006/relationships/hyperlink" Target="http://www.land.gov.il/TozaotMichrazim/resultsDetailed.aspx?id=83146&amp;rc=1245&amp;tr=1693" TargetMode="External"/><Relationship Id="rId1857" Type="http://schemas.openxmlformats.org/officeDocument/2006/relationships/hyperlink" Target="http://www.land.gov.il/TozaotMichrazim/resultsDetailed.aspx?id=79937&amp;rc=373&amp;tr=674" TargetMode="External"/><Relationship Id="rId51" Type="http://schemas.openxmlformats.org/officeDocument/2006/relationships/hyperlink" Target="http://www.land.gov.il/TozaotMichrazim/resultsDetailed.aspx?id=84634&amp;rc=45&amp;tr=685" TargetMode="External"/><Relationship Id="rId1412" Type="http://schemas.openxmlformats.org/officeDocument/2006/relationships/hyperlink" Target="http://www.land.gov.il/TozaotMichrazim/resultsDetailed.aspx?id=86701&amp;rc=5&amp;tr=43" TargetMode="External"/><Relationship Id="rId1717" Type="http://schemas.openxmlformats.org/officeDocument/2006/relationships/hyperlink" Target="http://www.land.gov.il/TozaotMichrazim/resultsDetailed.aspx?id=81296&amp;rc=229&amp;tr=674" TargetMode="External"/><Relationship Id="rId1924" Type="http://schemas.openxmlformats.org/officeDocument/2006/relationships/hyperlink" Target="http://www.land.gov.il/TozaotMichrazim/resultsDetailed.aspx?id=76951&amp;rc=453&amp;tr=674" TargetMode="External"/><Relationship Id="rId298" Type="http://schemas.openxmlformats.org/officeDocument/2006/relationships/hyperlink" Target="http://www.land.gov.il/TozaotMichrazim/resultsDetailed.aspx?id=85024&amp;rc=169&amp;tr=1693" TargetMode="External"/><Relationship Id="rId158" Type="http://schemas.openxmlformats.org/officeDocument/2006/relationships/hyperlink" Target="http://www.land.gov.il/TozaotMichrazim/resultsDetailed.aspx?id=76573&amp;rc=160&amp;tr=685" TargetMode="External"/><Relationship Id="rId2186" Type="http://schemas.openxmlformats.org/officeDocument/2006/relationships/hyperlink" Target="http://www.land.gov.il/shivukweb/pages/Prj_nahal.html" TargetMode="External"/><Relationship Id="rId2393" Type="http://schemas.openxmlformats.org/officeDocument/2006/relationships/hyperlink" Target="http://www.land.gov.il/TozaotMichrazim/resultsDetailed.aspx?id=87298&amp;rc=344&amp;tr=424" TargetMode="External"/><Relationship Id="rId2698" Type="http://schemas.openxmlformats.org/officeDocument/2006/relationships/control" Target="../activeX/activeX159.xml"/><Relationship Id="rId365" Type="http://schemas.openxmlformats.org/officeDocument/2006/relationships/hyperlink" Target="http://www.land.gov.il/TozaotMichrazim/resultsDetailed.aspx?id=85091&amp;rc=236&amp;tr=1693" TargetMode="External"/><Relationship Id="rId572" Type="http://schemas.openxmlformats.org/officeDocument/2006/relationships/hyperlink" Target="http://www.land.gov.il/TozaotMichrazim/resultsDetailed.aspx?id=85329&amp;rc=474&amp;tr=1693" TargetMode="External"/><Relationship Id="rId2046" Type="http://schemas.openxmlformats.org/officeDocument/2006/relationships/hyperlink" Target="http://www.land.gov.il/TozaotMichrazim/resultsDetailed.aspx?id=77212&amp;rc=72&amp;tr=440" TargetMode="External"/><Relationship Id="rId2253" Type="http://schemas.openxmlformats.org/officeDocument/2006/relationships/hyperlink" Target="http://www.land.gov.il/TozaotMichrazim/resultsDetailed.aspx?id=87757&amp;rc=198&amp;tr=424" TargetMode="External"/><Relationship Id="rId2460" Type="http://schemas.openxmlformats.org/officeDocument/2006/relationships/hyperlink" Target="http://www.land.gov.il/TozaotMichrazim/resultsDetailed.aspx?id=85584&amp;rc=12&amp;tr=87" TargetMode="External"/><Relationship Id="rId225" Type="http://schemas.openxmlformats.org/officeDocument/2006/relationships/hyperlink" Target="http://www.land.gov.il/TozaotMichrazim/resultsDetailed.aspx?id=84946&amp;rc=91&amp;tr=1693" TargetMode="External"/><Relationship Id="rId432" Type="http://schemas.openxmlformats.org/officeDocument/2006/relationships/hyperlink" Target="http://www.land.gov.il/TozaotMichrazim/resultsDetailed.aspx?id=85168&amp;rc=313&amp;tr=1693" TargetMode="External"/><Relationship Id="rId877" Type="http://schemas.openxmlformats.org/officeDocument/2006/relationships/hyperlink" Target="http://www.land.gov.il/TozaotMichrazim/resultsDetailed.aspx?id=82765&amp;rc=864&amp;tr=1693" TargetMode="External"/><Relationship Id="rId1062" Type="http://schemas.openxmlformats.org/officeDocument/2006/relationships/hyperlink" Target="http://www.land.gov.il/TozaotMichrazim/resultsDetailed.aspx?id=82983&amp;rc=1082&amp;tr=1693" TargetMode="External"/><Relationship Id="rId2113" Type="http://schemas.openxmlformats.org/officeDocument/2006/relationships/hyperlink" Target="http://www.land.gov.il/shivukweb/pages/Prj_yavne.html" TargetMode="External"/><Relationship Id="rId2320" Type="http://schemas.openxmlformats.org/officeDocument/2006/relationships/hyperlink" Target="http://www.land.gov.il/TozaotMichrazim/resultsDetailed.aspx?id=87689&amp;rc=267&amp;tr=424" TargetMode="External"/><Relationship Id="rId2558" Type="http://schemas.openxmlformats.org/officeDocument/2006/relationships/control" Target="../activeX/activeX19.xml"/><Relationship Id="rId2765" Type="http://schemas.openxmlformats.org/officeDocument/2006/relationships/control" Target="../activeX/activeX226.xml"/><Relationship Id="rId737" Type="http://schemas.openxmlformats.org/officeDocument/2006/relationships/hyperlink" Target="http://www.land.gov.il/TozaotMichrazim/resultsDetailed.aspx?id=85542&amp;rc=687&amp;tr=1693" TargetMode="External"/><Relationship Id="rId944" Type="http://schemas.openxmlformats.org/officeDocument/2006/relationships/hyperlink" Target="http://www.land.gov.il/TozaotMichrazim/resultsDetailed.aspx?id=82838&amp;rc=937&amp;tr=1693" TargetMode="External"/><Relationship Id="rId1367" Type="http://schemas.openxmlformats.org/officeDocument/2006/relationships/hyperlink" Target="http://www.land.gov.il/TozaotMichrazim/resultsDetailed.aspx?id=76268&amp;rc=1420&amp;tr=1693" TargetMode="External"/><Relationship Id="rId1574" Type="http://schemas.openxmlformats.org/officeDocument/2006/relationships/hyperlink" Target="http://www.land.gov.il/TozaotMichrazim/resultsDetailed.aspx?id=86470&amp;rc=61&amp;tr=674" TargetMode="External"/><Relationship Id="rId1781" Type="http://schemas.openxmlformats.org/officeDocument/2006/relationships/hyperlink" Target="http://www.land.gov.il/TozaotMichrazim/resultsDetailed.aspx?id=81362&amp;rc=295&amp;tr=674" TargetMode="External"/><Relationship Id="rId2418" Type="http://schemas.openxmlformats.org/officeDocument/2006/relationships/hyperlink" Target="http://www.land.gov.il/TozaotMichrazim/resultsDetailed.aspx?id=87342&amp;rc=386&amp;tr=424" TargetMode="External"/><Relationship Id="rId2625" Type="http://schemas.openxmlformats.org/officeDocument/2006/relationships/control" Target="../activeX/activeX86.xml"/><Relationship Id="rId73" Type="http://schemas.openxmlformats.org/officeDocument/2006/relationships/hyperlink" Target="http://www.land.gov.il/TozaotMichrazim/resultsDetailed.aspx?id=84656&amp;rc=67&amp;tr=685" TargetMode="External"/><Relationship Id="rId804" Type="http://schemas.openxmlformats.org/officeDocument/2006/relationships/hyperlink" Target="http://www.land.gov.il/TozaotMichrazim/resultsDetailed.aspx?id=82678&amp;rc=777&amp;tr=1693" TargetMode="External"/><Relationship Id="rId1227" Type="http://schemas.openxmlformats.org/officeDocument/2006/relationships/hyperlink" Target="http://www.land.gov.il/TozaotMichrazim/resultsDetailed.aspx?id=83179&amp;rc=1278&amp;tr=1693" TargetMode="External"/><Relationship Id="rId1434" Type="http://schemas.openxmlformats.org/officeDocument/2006/relationships/hyperlink" Target="http://www.land.gov.il/TozaotMichrazim/resultsDetailed.aspx?id=87247&amp;rc=21&amp;tr=421" TargetMode="External"/><Relationship Id="rId1641" Type="http://schemas.openxmlformats.org/officeDocument/2006/relationships/hyperlink" Target="http://www.land.gov.il/TozaotMichrazim/resultsDetailed.aspx?id=86537&amp;rc=128&amp;tr=674" TargetMode="External"/><Relationship Id="rId1879" Type="http://schemas.openxmlformats.org/officeDocument/2006/relationships/hyperlink" Target="http://www.land.gov.il/TozaotMichrazim/resultsDetailed.aspx?id=79959&amp;rc=395&amp;tr=674" TargetMode="External"/><Relationship Id="rId1501" Type="http://schemas.openxmlformats.org/officeDocument/2006/relationships/hyperlink" Target="http://www.land.gov.il/TozaotMichrazim/resultsDetailed.aspx?id=80135&amp;rc=97&amp;tr=421" TargetMode="External"/><Relationship Id="rId1739" Type="http://schemas.openxmlformats.org/officeDocument/2006/relationships/hyperlink" Target="http://www.land.gov.il/TozaotMichrazim/resultsDetailed.aspx?id=81319&amp;rc=252&amp;tr=674" TargetMode="External"/><Relationship Id="rId1946" Type="http://schemas.openxmlformats.org/officeDocument/2006/relationships/hyperlink" Target="http://www.land.gov.il/TozaotMichrazim/resultsDetailed.aspx?id=76980&amp;rc=482&amp;tr=674" TargetMode="External"/><Relationship Id="rId1806" Type="http://schemas.openxmlformats.org/officeDocument/2006/relationships/hyperlink" Target="http://www.land.gov.il/TozaotMichrazim/resultsDetailed.aspx?id=81389&amp;rc=322&amp;tr=674" TargetMode="External"/><Relationship Id="rId387" Type="http://schemas.openxmlformats.org/officeDocument/2006/relationships/hyperlink" Target="http://www.land.gov.il/TozaotMichrazim/resultsDetailed.aspx?id=85114&amp;rc=259&amp;tr=1693" TargetMode="External"/><Relationship Id="rId594" Type="http://schemas.openxmlformats.org/officeDocument/2006/relationships/hyperlink" Target="http://www.land.gov.il/TozaotMichrazim/resultsDetailed.aspx?id=85363&amp;rc=508&amp;tr=1693" TargetMode="External"/><Relationship Id="rId2068" Type="http://schemas.openxmlformats.org/officeDocument/2006/relationships/hyperlink" Target="http://www.land.gov.il/TozaotMichrazim/resultsDetailed.aspx?id=87049&amp;rc=9&amp;tr=115" TargetMode="External"/><Relationship Id="rId2275" Type="http://schemas.openxmlformats.org/officeDocument/2006/relationships/hyperlink" Target="http://www.land.gov.il/TozaotMichrazim/resultsDetailed.aspx?id=87782&amp;rc=221&amp;tr=424" TargetMode="External"/><Relationship Id="rId247" Type="http://schemas.openxmlformats.org/officeDocument/2006/relationships/hyperlink" Target="http://www.land.gov.il/TozaotMichrazim/resultsDetailed.aspx?id=84969&amp;rc=114&amp;tr=1693" TargetMode="External"/><Relationship Id="rId899" Type="http://schemas.openxmlformats.org/officeDocument/2006/relationships/hyperlink" Target="http://www.land.gov.il/TozaotMichrazim/resultsDetailed.aspx?id=82788&amp;rc=887&amp;tr=1693" TargetMode="External"/><Relationship Id="rId1084" Type="http://schemas.openxmlformats.org/officeDocument/2006/relationships/hyperlink" Target="http://www.land.gov.il/TozaotMichrazim/resultsDetailed.aspx?id=83012&amp;rc=1111&amp;tr=1693" TargetMode="External"/><Relationship Id="rId2482" Type="http://schemas.openxmlformats.org/officeDocument/2006/relationships/hyperlink" Target="http://www.land.gov.il/TozaotMichrazim/resultsDetailed.aspx?id=81165&amp;rc=34&amp;tr=87" TargetMode="External"/><Relationship Id="rId2787" Type="http://schemas.openxmlformats.org/officeDocument/2006/relationships/control" Target="../activeX/activeX248.xml"/><Relationship Id="rId107" Type="http://schemas.openxmlformats.org/officeDocument/2006/relationships/hyperlink" Target="http://www.land.gov.il/TozaotMichrazim/resultsDetailed.aspx?id=84690&amp;rc=101&amp;tr=685" TargetMode="External"/><Relationship Id="rId454" Type="http://schemas.openxmlformats.org/officeDocument/2006/relationships/hyperlink" Target="http://www.land.gov.il/TozaotMichrazim/resultsDetailed.aspx?id=85190&amp;rc=335&amp;tr=1693" TargetMode="External"/><Relationship Id="rId661" Type="http://schemas.openxmlformats.org/officeDocument/2006/relationships/hyperlink" Target="http://www.land.gov.il/TozaotMichrazim/resultsDetailed.aspx?id=85445&amp;rc=590&amp;tr=1693" TargetMode="External"/><Relationship Id="rId759" Type="http://schemas.openxmlformats.org/officeDocument/2006/relationships/hyperlink" Target="http://www.land.gov.il/TozaotMichrazim/resultsDetailed.aspx?id=85570&amp;rc=715&amp;tr=1693" TargetMode="External"/><Relationship Id="rId966" Type="http://schemas.openxmlformats.org/officeDocument/2006/relationships/hyperlink" Target="http://www.land.gov.il/TozaotMichrazim/resultsDetailed.aspx?id=82862&amp;rc=961&amp;tr=1693" TargetMode="External"/><Relationship Id="rId1291" Type="http://schemas.openxmlformats.org/officeDocument/2006/relationships/hyperlink" Target="http://www.land.gov.il/TozaotMichrazim/resultsDetailed.aspx?id=79036&amp;rc=1344&amp;tr=1693" TargetMode="External"/><Relationship Id="rId1389" Type="http://schemas.openxmlformats.org/officeDocument/2006/relationships/hyperlink" Target="http://www.land.gov.il/TozaotMichrazim/resultsDetailed.aspx?id=76151&amp;rc=1444&amp;tr=1693" TargetMode="External"/><Relationship Id="rId1596" Type="http://schemas.openxmlformats.org/officeDocument/2006/relationships/hyperlink" Target="http://www.land.gov.il/TozaotMichrazim/resultsDetailed.aspx?id=86492&amp;rc=83&amp;tr=674" TargetMode="External"/><Relationship Id="rId2135" Type="http://schemas.openxmlformats.org/officeDocument/2006/relationships/hyperlink" Target="http://www.land.gov.il/IturTabot2/taba2.aspx?tbMerchav=419&amp;tUniqueID=0&amp;sSug=~&amp;tblView=tblView_2cbd28fe9b5a&amp;tbMsTochnit=%25u05dc%25u05d4/16/1000" TargetMode="External"/><Relationship Id="rId2342" Type="http://schemas.openxmlformats.org/officeDocument/2006/relationships/hyperlink" Target="http://www.land.gov.il/TozaotMichrazim/resultsDetailed.aspx?id=87711&amp;rc=289&amp;tr=424" TargetMode="External"/><Relationship Id="rId2647" Type="http://schemas.openxmlformats.org/officeDocument/2006/relationships/control" Target="../activeX/activeX108.xml"/><Relationship Id="rId314" Type="http://schemas.openxmlformats.org/officeDocument/2006/relationships/hyperlink" Target="http://www.land.gov.il/TozaotMichrazim/resultsDetailed.aspx?id=85040&amp;rc=185&amp;tr=1693" TargetMode="External"/><Relationship Id="rId521" Type="http://schemas.openxmlformats.org/officeDocument/2006/relationships/hyperlink" Target="http://www.land.gov.il/TozaotMichrazim/resultsDetailed.aspx?id=85270&amp;rc=415&amp;tr=1693" TargetMode="External"/><Relationship Id="rId619" Type="http://schemas.openxmlformats.org/officeDocument/2006/relationships/hyperlink" Target="http://www.land.gov.il/TozaotMichrazim/resultsDetailed.aspx?id=85394&amp;rc=539&amp;tr=1693" TargetMode="External"/><Relationship Id="rId1151" Type="http://schemas.openxmlformats.org/officeDocument/2006/relationships/hyperlink" Target="http://www.land.gov.il/TozaotMichrazim/resultsDetailed.aspx?id=83086&amp;rc=1185&amp;tr=1693" TargetMode="External"/><Relationship Id="rId1249" Type="http://schemas.openxmlformats.org/officeDocument/2006/relationships/hyperlink" Target="http://www.land.gov.il/TozaotMichrazim/resultsDetailed.aspx?id=79322&amp;rc=1302&amp;tr=1693" TargetMode="External"/><Relationship Id="rId2202" Type="http://schemas.openxmlformats.org/officeDocument/2006/relationships/hyperlink" Target="http://www.land.gov.il/PirsumMichrazim/Aspx/pirsumDetails.aspx?id=3112016%E9%ED&amp;rc=1&amp;tr=1" TargetMode="External"/><Relationship Id="rId95" Type="http://schemas.openxmlformats.org/officeDocument/2006/relationships/hyperlink" Target="http://www.land.gov.il/TozaotMichrazim/resultsDetailed.aspx?id=84678&amp;rc=89&amp;tr=685" TargetMode="External"/><Relationship Id="rId826" Type="http://schemas.openxmlformats.org/officeDocument/2006/relationships/hyperlink" Target="http://www.land.gov.il/TozaotMichrazim/resultsDetailed.aspx?id=82708&amp;rc=807&amp;tr=1693" TargetMode="External"/><Relationship Id="rId1011" Type="http://schemas.openxmlformats.org/officeDocument/2006/relationships/hyperlink" Target="http://www.land.gov.il/TozaotMichrazim/resultsDetailed.aspx?id=82921&amp;rc=1020&amp;tr=1693" TargetMode="External"/><Relationship Id="rId1109" Type="http://schemas.openxmlformats.org/officeDocument/2006/relationships/hyperlink" Target="http://www.land.gov.il/TozaotMichrazim/resultsDetailed.aspx?id=83039&amp;rc=1138&amp;tr=1693" TargetMode="External"/><Relationship Id="rId1456" Type="http://schemas.openxmlformats.org/officeDocument/2006/relationships/hyperlink" Target="http://www.land.gov.il/TozaotMichrazim/resultsDetailed.aspx?id=84692&amp;rc=45&amp;tr=421" TargetMode="External"/><Relationship Id="rId1663" Type="http://schemas.openxmlformats.org/officeDocument/2006/relationships/hyperlink" Target="http://www.land.gov.il/TozaotMichrazim/resultsDetailed.aspx?id=85635&amp;rc=152&amp;tr=674" TargetMode="External"/><Relationship Id="rId1870" Type="http://schemas.openxmlformats.org/officeDocument/2006/relationships/hyperlink" Target="http://www.land.gov.il/TozaotMichrazim/resultsDetailed.aspx?id=79950&amp;rc=386&amp;tr=674" TargetMode="External"/><Relationship Id="rId1968" Type="http://schemas.openxmlformats.org/officeDocument/2006/relationships/hyperlink" Target="http://www.land.gov.il/TozaotMichrazim/resultsDetailed.aspx?id=77002&amp;rc=504&amp;tr=674" TargetMode="External"/><Relationship Id="rId2507" Type="http://schemas.openxmlformats.org/officeDocument/2006/relationships/hyperlink" Target="http://www.land.gov.il/TozaotMichrazim/resultsDetailed.aspx?id=71347&amp;rc=59&amp;tr=87" TargetMode="External"/><Relationship Id="rId2714" Type="http://schemas.openxmlformats.org/officeDocument/2006/relationships/control" Target="../activeX/activeX175.xml"/><Relationship Id="rId1316" Type="http://schemas.openxmlformats.org/officeDocument/2006/relationships/hyperlink" Target="http://www.land.gov.il/TozaotMichrazim/resultsDetailed.aspx?id=77699&amp;rc=1369&amp;tr=1693" TargetMode="External"/><Relationship Id="rId1523" Type="http://schemas.openxmlformats.org/officeDocument/2006/relationships/hyperlink" Target="http://www.land.gov.il/TozaotMichrazim/resultsDetailed.aspx?id=86419&amp;rc=10&amp;tr=674" TargetMode="External"/><Relationship Id="rId1730" Type="http://schemas.openxmlformats.org/officeDocument/2006/relationships/hyperlink" Target="http://www.land.gov.il/TozaotMichrazim/resultsDetailed.aspx?id=81309&amp;rc=242&amp;tr=674" TargetMode="External"/><Relationship Id="rId22" Type="http://schemas.openxmlformats.org/officeDocument/2006/relationships/hyperlink" Target="http://www.land.gov.il/TozaotMichrazim/resultsDetailed.aspx?id=84605&amp;rc=16&amp;tr=685" TargetMode="External"/><Relationship Id="rId1828" Type="http://schemas.openxmlformats.org/officeDocument/2006/relationships/hyperlink" Target="http://www.land.gov.il/TozaotMichrazim/resultsDetailed.aspx?id=81411&amp;rc=344&amp;tr=674" TargetMode="External"/><Relationship Id="rId171" Type="http://schemas.openxmlformats.org/officeDocument/2006/relationships/hyperlink" Target="http://www.land.gov.il/TozaotMichrazim/resultsDetailed.aspx?id=84891&amp;rc=36&amp;tr=1693" TargetMode="External"/><Relationship Id="rId2297" Type="http://schemas.openxmlformats.org/officeDocument/2006/relationships/hyperlink" Target="http://www.land.gov.il/TozaotMichrazim/resultsDetailed.aspx?id=87666&amp;rc=244&amp;tr=424" TargetMode="External"/><Relationship Id="rId269" Type="http://schemas.openxmlformats.org/officeDocument/2006/relationships/hyperlink" Target="http://www.land.gov.il/TozaotMichrazim/resultsDetailed.aspx?id=84995&amp;rc=140&amp;tr=1693" TargetMode="External"/><Relationship Id="rId476" Type="http://schemas.openxmlformats.org/officeDocument/2006/relationships/hyperlink" Target="http://www.land.gov.il/TozaotMichrazim/resultsDetailed.aspx?id=85212&amp;rc=357&amp;tr=1693" TargetMode="External"/><Relationship Id="rId683" Type="http://schemas.openxmlformats.org/officeDocument/2006/relationships/hyperlink" Target="http://www.land.gov.il/TozaotMichrazim/resultsDetailed.aspx?id=85469&amp;rc=614&amp;tr=1693" TargetMode="External"/><Relationship Id="rId890" Type="http://schemas.openxmlformats.org/officeDocument/2006/relationships/hyperlink" Target="http://www.land.gov.il/TozaotMichrazim/resultsDetailed.aspx?id=82779&amp;rc=878&amp;tr=1693" TargetMode="External"/><Relationship Id="rId2157" Type="http://schemas.openxmlformats.org/officeDocument/2006/relationships/hyperlink" Target="http://www.land.gov.il/IturTabot2/taba2.aspx?tbMerchav=107&amp;tUniqueID=0&amp;sSug=~&amp;tblView=tblView_ab8bc5ac50d1&amp;tbMsTochnit=1/140/02/9" TargetMode="External"/><Relationship Id="rId2364" Type="http://schemas.openxmlformats.org/officeDocument/2006/relationships/hyperlink" Target="http://www.land.gov.il/TozaotMichrazim/resultsDetailed.aspx?id=87733&amp;rc=311&amp;tr=424" TargetMode="External"/><Relationship Id="rId2571" Type="http://schemas.openxmlformats.org/officeDocument/2006/relationships/control" Target="../activeX/activeX32.xml"/><Relationship Id="rId129" Type="http://schemas.openxmlformats.org/officeDocument/2006/relationships/hyperlink" Target="http://www.land.gov.il/TozaotMichrazim/resultsDetailed.aspx?id=79107&amp;rc=125&amp;tr=685" TargetMode="External"/><Relationship Id="rId336" Type="http://schemas.openxmlformats.org/officeDocument/2006/relationships/hyperlink" Target="http://www.land.gov.il/TozaotMichrazim/resultsDetailed.aspx?id=85062&amp;rc=207&amp;tr=1693" TargetMode="External"/><Relationship Id="rId543" Type="http://schemas.openxmlformats.org/officeDocument/2006/relationships/hyperlink" Target="http://www.land.gov.il/TozaotMichrazim/resultsDetailed.aspx?id=85297&amp;rc=442&amp;tr=1693" TargetMode="External"/><Relationship Id="rId988" Type="http://schemas.openxmlformats.org/officeDocument/2006/relationships/hyperlink" Target="http://www.land.gov.il/TozaotMichrazim/resultsDetailed.aspx?id=82894&amp;rc=993&amp;tr=1693" TargetMode="External"/><Relationship Id="rId1173" Type="http://schemas.openxmlformats.org/officeDocument/2006/relationships/hyperlink" Target="http://www.land.gov.il/TozaotMichrazim/resultsDetailed.aspx?id=83112&amp;rc=1211&amp;tr=1693" TargetMode="External"/><Relationship Id="rId1380" Type="http://schemas.openxmlformats.org/officeDocument/2006/relationships/hyperlink" Target="http://www.land.gov.il/TozaotMichrazim/resultsDetailed.aspx?id=76281&amp;rc=1433&amp;tr=1693" TargetMode="External"/><Relationship Id="rId2017" Type="http://schemas.openxmlformats.org/officeDocument/2006/relationships/hyperlink" Target="http://www.land.gov.il/TozaotMichrazim/resultsDetailed.aspx?id=80800&amp;rc=43&amp;tr=440" TargetMode="External"/><Relationship Id="rId2224" Type="http://schemas.openxmlformats.org/officeDocument/2006/relationships/hyperlink" Target="http://www.land.gov.il/shivukweb/pages/Prj_neotafek.html" TargetMode="External"/><Relationship Id="rId2669" Type="http://schemas.openxmlformats.org/officeDocument/2006/relationships/control" Target="../activeX/activeX130.xml"/><Relationship Id="rId403" Type="http://schemas.openxmlformats.org/officeDocument/2006/relationships/hyperlink" Target="http://www.land.gov.il/TozaotMichrazim/resultsDetailed.aspx?id=85135&amp;rc=280&amp;tr=1693" TargetMode="External"/><Relationship Id="rId750" Type="http://schemas.openxmlformats.org/officeDocument/2006/relationships/hyperlink" Target="http://www.land.gov.il/TozaotMichrazim/resultsDetailed.aspx?id=85559&amp;rc=704&amp;tr=1693" TargetMode="External"/><Relationship Id="rId848" Type="http://schemas.openxmlformats.org/officeDocument/2006/relationships/hyperlink" Target="http://www.land.gov.il/TozaotMichrazim/resultsDetailed.aspx?id=82735&amp;rc=834&amp;tr=1693" TargetMode="External"/><Relationship Id="rId1033" Type="http://schemas.openxmlformats.org/officeDocument/2006/relationships/hyperlink" Target="http://www.land.gov.il/TozaotMichrazim/resultsDetailed.aspx?id=82946&amp;rc=1045&amp;tr=1693" TargetMode="External"/><Relationship Id="rId1478" Type="http://schemas.openxmlformats.org/officeDocument/2006/relationships/hyperlink" Target="http://www.land.gov.il/TozaotMichrazim/resultsDetailed.aspx?id=80112&amp;rc=74&amp;tr=421" TargetMode="External"/><Relationship Id="rId1685" Type="http://schemas.openxmlformats.org/officeDocument/2006/relationships/hyperlink" Target="http://www.land.gov.il/TozaotMichrazim/resultsDetailed.aspx?id=83830&amp;rc=193&amp;tr=674" TargetMode="External"/><Relationship Id="rId1892" Type="http://schemas.openxmlformats.org/officeDocument/2006/relationships/hyperlink" Target="http://www.land.gov.il/TozaotMichrazim/resultsDetailed.aspx?id=79388&amp;rc=408&amp;tr=674" TargetMode="External"/><Relationship Id="rId2431" Type="http://schemas.openxmlformats.org/officeDocument/2006/relationships/hyperlink" Target="http://www.land.gov.il/TozaotMichrazim/resultsDetailed.aspx?id=87314&amp;rc=407&amp;tr=424" TargetMode="External"/><Relationship Id="rId2529" Type="http://schemas.openxmlformats.org/officeDocument/2006/relationships/hyperlink" Target="http://www.land.gov.il/TozaotMichrazim/resultsDetailed.aspx?id=57288&amp;rc=81&amp;tr=87" TargetMode="External"/><Relationship Id="rId2736" Type="http://schemas.openxmlformats.org/officeDocument/2006/relationships/control" Target="../activeX/activeX197.xml"/><Relationship Id="rId610" Type="http://schemas.openxmlformats.org/officeDocument/2006/relationships/hyperlink" Target="http://www.land.gov.il/TozaotMichrazim/resultsDetailed.aspx?id=85384&amp;rc=529&amp;tr=1693" TargetMode="External"/><Relationship Id="rId708" Type="http://schemas.openxmlformats.org/officeDocument/2006/relationships/hyperlink" Target="http://www.land.gov.il/TozaotMichrazim/resultsDetailed.aspx?id=85497&amp;rc=642&amp;tr=1693" TargetMode="External"/><Relationship Id="rId915" Type="http://schemas.openxmlformats.org/officeDocument/2006/relationships/hyperlink" Target="http://www.land.gov.il/TozaotMichrazim/resultsDetailed.aspx?id=82805&amp;rc=904&amp;tr=1693" TargetMode="External"/><Relationship Id="rId1240" Type="http://schemas.openxmlformats.org/officeDocument/2006/relationships/hyperlink" Target="http://www.land.gov.il/TozaotMichrazim/resultsDetailed.aspx?id=80051&amp;rc=1293&amp;tr=1693" TargetMode="External"/><Relationship Id="rId1338" Type="http://schemas.openxmlformats.org/officeDocument/2006/relationships/hyperlink" Target="http://www.land.gov.il/TozaotMichrazim/resultsDetailed.aspx?id=76239&amp;rc=1391&amp;tr=1693" TargetMode="External"/><Relationship Id="rId1545" Type="http://schemas.openxmlformats.org/officeDocument/2006/relationships/hyperlink" Target="http://www.land.gov.il/TozaotMichrazim/resultsDetailed.aspx?id=86441&amp;rc=32&amp;tr=674" TargetMode="External"/><Relationship Id="rId1100" Type="http://schemas.openxmlformats.org/officeDocument/2006/relationships/hyperlink" Target="http://www.land.gov.il/TozaotMichrazim/resultsDetailed.aspx?id=83028&amp;rc=1127&amp;tr=1693" TargetMode="External"/><Relationship Id="rId1405" Type="http://schemas.openxmlformats.org/officeDocument/2006/relationships/hyperlink" Target="http://www.land.gov.il/TozaotMichrazim/resultsDetailed.aspx?id=81498&amp;rc=23&amp;tr=79" TargetMode="External"/><Relationship Id="rId1752" Type="http://schemas.openxmlformats.org/officeDocument/2006/relationships/hyperlink" Target="http://www.land.gov.il/TozaotMichrazim/resultsDetailed.aspx?id=81332&amp;rc=265&amp;tr=674" TargetMode="External"/><Relationship Id="rId2803" Type="http://schemas.openxmlformats.org/officeDocument/2006/relationships/control" Target="../activeX/activeX264.xml"/><Relationship Id="rId44" Type="http://schemas.openxmlformats.org/officeDocument/2006/relationships/hyperlink" Target="http://www.land.gov.il/TozaotMichrazim/resultsDetailed.aspx?id=84627&amp;rc=38&amp;tr=685" TargetMode="External"/><Relationship Id="rId1612" Type="http://schemas.openxmlformats.org/officeDocument/2006/relationships/hyperlink" Target="http://www.land.gov.il/TozaotMichrazim/resultsDetailed.aspx?id=86508&amp;rc=99&amp;tr=674" TargetMode="External"/><Relationship Id="rId1917" Type="http://schemas.openxmlformats.org/officeDocument/2006/relationships/hyperlink" Target="http://www.land.gov.il/TozaotMichrazim/resultsDetailed.aspx?id=76938&amp;rc=440&amp;tr=674" TargetMode="External"/><Relationship Id="rId193" Type="http://schemas.openxmlformats.org/officeDocument/2006/relationships/hyperlink" Target="http://www.land.gov.il/TozaotMichrazim/resultsDetailed.aspx?id=84914&amp;rc=59&amp;tr=1693" TargetMode="External"/><Relationship Id="rId498" Type="http://schemas.openxmlformats.org/officeDocument/2006/relationships/hyperlink" Target="http://www.land.gov.il/TozaotMichrazim/resultsDetailed.aspx?id=85239&amp;rc=384&amp;tr=1693" TargetMode="External"/><Relationship Id="rId2081" Type="http://schemas.openxmlformats.org/officeDocument/2006/relationships/hyperlink" Target="http://www.land.gov.il/TozaotMichrazim/resultsDetailed.aspx?id=80747&amp;rc=22&amp;tr=115" TargetMode="External"/><Relationship Id="rId2179" Type="http://schemas.openxmlformats.org/officeDocument/2006/relationships/hyperlink" Target="http://www.land.gov.il/PirsumMichrazim/Aspx/pirsumDetails.aspx?id=2282016%EE%F8&amp;rc=4&amp;tr=6" TargetMode="External"/><Relationship Id="rId260" Type="http://schemas.openxmlformats.org/officeDocument/2006/relationships/hyperlink" Target="http://www.land.gov.il/TozaotMichrazim/resultsDetailed.aspx?id=84986&amp;rc=131&amp;tr=1693" TargetMode="External"/><Relationship Id="rId2386" Type="http://schemas.openxmlformats.org/officeDocument/2006/relationships/hyperlink" Target="http://www.land.gov.il/TozaotMichrazim/resultsDetailed.aspx?id=87291&amp;rc=337&amp;tr=424" TargetMode="External"/><Relationship Id="rId2593" Type="http://schemas.openxmlformats.org/officeDocument/2006/relationships/control" Target="../activeX/activeX54.xml"/><Relationship Id="rId120" Type="http://schemas.openxmlformats.org/officeDocument/2006/relationships/hyperlink" Target="http://www.land.gov.il/TozaotMichrazim/resultsDetailed.aspx?id=80764&amp;rc=114&amp;tr=685" TargetMode="External"/><Relationship Id="rId358" Type="http://schemas.openxmlformats.org/officeDocument/2006/relationships/hyperlink" Target="http://www.land.gov.il/TozaotMichrazim/resultsDetailed.aspx?id=85084&amp;rc=229&amp;tr=1693" TargetMode="External"/><Relationship Id="rId565" Type="http://schemas.openxmlformats.org/officeDocument/2006/relationships/hyperlink" Target="http://www.land.gov.il/TozaotMichrazim/resultsDetailed.aspx?id=85322&amp;rc=467&amp;tr=1693" TargetMode="External"/><Relationship Id="rId772" Type="http://schemas.openxmlformats.org/officeDocument/2006/relationships/hyperlink" Target="http://www.land.gov.il/TozaotMichrazim/resultsDetailed.aspx?id=82629&amp;rc=728&amp;tr=1693" TargetMode="External"/><Relationship Id="rId1195" Type="http://schemas.openxmlformats.org/officeDocument/2006/relationships/hyperlink" Target="http://www.land.gov.il/TozaotMichrazim/resultsDetailed.aspx?id=83135&amp;rc=1234&amp;tr=1693" TargetMode="External"/><Relationship Id="rId2039" Type="http://schemas.openxmlformats.org/officeDocument/2006/relationships/hyperlink" Target="http://www.land.gov.il/TozaotMichrazim/resultsDetailed.aspx?id=79140&amp;rc=65&amp;tr=440" TargetMode="External"/><Relationship Id="rId2246" Type="http://schemas.openxmlformats.org/officeDocument/2006/relationships/hyperlink" Target="http://www.land.gov.il/TozaotMichrazim/resultsDetailed.aspx?id=87850&amp;rc=30&amp;tr=424" TargetMode="External"/><Relationship Id="rId2453" Type="http://schemas.openxmlformats.org/officeDocument/2006/relationships/hyperlink" Target="http://www.land.gov.il/TozaotMichrazim/resultsDetailed.aspx?id=85577&amp;rc=5&amp;tr=87" TargetMode="External"/><Relationship Id="rId2660" Type="http://schemas.openxmlformats.org/officeDocument/2006/relationships/control" Target="../activeX/activeX121.xml"/><Relationship Id="rId218" Type="http://schemas.openxmlformats.org/officeDocument/2006/relationships/hyperlink" Target="http://www.land.gov.il/TozaotMichrazim/resultsDetailed.aspx?id=84939&amp;rc=84&amp;tr=1693" TargetMode="External"/><Relationship Id="rId425" Type="http://schemas.openxmlformats.org/officeDocument/2006/relationships/hyperlink" Target="http://www.land.gov.il/TozaotMichrazim/resultsDetailed.aspx?id=85161&amp;rc=306&amp;tr=1693" TargetMode="External"/><Relationship Id="rId632" Type="http://schemas.openxmlformats.org/officeDocument/2006/relationships/hyperlink" Target="http://www.land.gov.il/TozaotMichrazim/resultsDetailed.aspx?id=85411&amp;rc=556&amp;tr=1693" TargetMode="External"/><Relationship Id="rId1055" Type="http://schemas.openxmlformats.org/officeDocument/2006/relationships/hyperlink" Target="http://www.land.gov.il/TozaotMichrazim/resultsDetailed.aspx?id=82973&amp;rc=1072&amp;tr=1693" TargetMode="External"/><Relationship Id="rId1262" Type="http://schemas.openxmlformats.org/officeDocument/2006/relationships/hyperlink" Target="http://www.land.gov.il/TozaotMichrazim/resultsDetailed.aspx?id=79335&amp;rc=1315&amp;tr=1693" TargetMode="External"/><Relationship Id="rId2106" Type="http://schemas.openxmlformats.org/officeDocument/2006/relationships/hyperlink" Target="http://www.land.gov.il/TozaotMichrazim/resultsDetailed.aspx?id=78034&amp;rc=22&amp;tr=100" TargetMode="External"/><Relationship Id="rId2313" Type="http://schemas.openxmlformats.org/officeDocument/2006/relationships/hyperlink" Target="http://www.land.gov.il/TozaotMichrazim/resultsDetailed.aspx?id=87682&amp;rc=260&amp;tr=424" TargetMode="External"/><Relationship Id="rId2520" Type="http://schemas.openxmlformats.org/officeDocument/2006/relationships/hyperlink" Target="http://www.land.gov.il/TozaotMichrazim/resultsDetailed.aspx?id=71360&amp;rc=72&amp;tr=87" TargetMode="External"/><Relationship Id="rId2758" Type="http://schemas.openxmlformats.org/officeDocument/2006/relationships/control" Target="../activeX/activeX219.xml"/><Relationship Id="rId937" Type="http://schemas.openxmlformats.org/officeDocument/2006/relationships/hyperlink" Target="http://www.land.gov.il/TozaotMichrazim/resultsDetailed.aspx?id=82830&amp;rc=929&amp;tr=1693" TargetMode="External"/><Relationship Id="rId1122" Type="http://schemas.openxmlformats.org/officeDocument/2006/relationships/hyperlink" Target="http://www.land.gov.il/TozaotMichrazim/resultsDetailed.aspx?id=83053&amp;rc=1152&amp;tr=1693" TargetMode="External"/><Relationship Id="rId1567" Type="http://schemas.openxmlformats.org/officeDocument/2006/relationships/hyperlink" Target="http://www.land.gov.il/TozaotMichrazim/resultsDetailed.aspx?id=86463&amp;rc=54&amp;tr=674" TargetMode="External"/><Relationship Id="rId1774" Type="http://schemas.openxmlformats.org/officeDocument/2006/relationships/hyperlink" Target="http://www.land.gov.il/TozaotMichrazim/resultsDetailed.aspx?id=81355&amp;rc=288&amp;tr=674" TargetMode="External"/><Relationship Id="rId1981" Type="http://schemas.openxmlformats.org/officeDocument/2006/relationships/hyperlink" Target="http://www.land.gov.il/TozaotMichrazim/resultsDetailed.aspx?id=87128&amp;rc=2&amp;tr=440" TargetMode="External"/><Relationship Id="rId2618" Type="http://schemas.openxmlformats.org/officeDocument/2006/relationships/control" Target="../activeX/activeX79.xml"/><Relationship Id="rId66" Type="http://schemas.openxmlformats.org/officeDocument/2006/relationships/hyperlink" Target="http://www.land.gov.il/TozaotMichrazim/resultsDetailed.aspx?id=84649&amp;rc=60&amp;tr=685" TargetMode="External"/><Relationship Id="rId1427" Type="http://schemas.openxmlformats.org/officeDocument/2006/relationships/hyperlink" Target="http://www.land.gov.il/TozaotMichrazim/resultsDetailed.aspx?id=87240&amp;rc=14&amp;tr=421" TargetMode="External"/><Relationship Id="rId1634" Type="http://schemas.openxmlformats.org/officeDocument/2006/relationships/hyperlink" Target="http://www.land.gov.il/TozaotMichrazim/resultsDetailed.aspx?id=86530&amp;rc=121&amp;tr=674" TargetMode="External"/><Relationship Id="rId1841" Type="http://schemas.openxmlformats.org/officeDocument/2006/relationships/hyperlink" Target="http://www.land.gov.il/TozaotMichrazim/resultsDetailed.aspx?id=79921&amp;rc=357&amp;tr=6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8"/>
  <sheetViews>
    <sheetView rightToLeft="1" zoomScale="90" zoomScaleNormal="90"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defaultRowHeight="15"/>
  <cols>
    <col min="1" max="1" width="10" bestFit="1" customWidth="1"/>
    <col min="2" max="2" width="24.5703125" bestFit="1" customWidth="1"/>
    <col min="3" max="4" width="27.140625" style="17" customWidth="1"/>
    <col min="5" max="5" width="36.7109375" style="10" customWidth="1"/>
    <col min="6" max="6" width="12.42578125" style="10" bestFit="1" customWidth="1"/>
    <col min="7" max="7" width="10.140625" bestFit="1" customWidth="1"/>
    <col min="8" max="8" width="18.42578125" bestFit="1" customWidth="1"/>
    <col min="9" max="9" width="18.42578125" customWidth="1"/>
    <col min="10" max="10" width="12.7109375" bestFit="1" customWidth="1"/>
    <col min="11" max="11" width="22.85546875" bestFit="1" customWidth="1"/>
    <col min="12" max="12" width="32" bestFit="1" customWidth="1"/>
    <col min="13" max="13" width="24.7109375" bestFit="1" customWidth="1"/>
    <col min="14" max="14" width="15" bestFit="1" customWidth="1"/>
    <col min="15" max="15" width="16.140625" bestFit="1" customWidth="1"/>
    <col min="16" max="16" width="20.85546875" bestFit="1" customWidth="1"/>
    <col min="17" max="17" width="24.28515625" bestFit="1" customWidth="1"/>
    <col min="18" max="18" width="23" bestFit="1" customWidth="1"/>
    <col min="19" max="19" width="29.85546875" bestFit="1" customWidth="1"/>
    <col min="20" max="20" width="28.42578125" bestFit="1" customWidth="1"/>
  </cols>
  <sheetData>
    <row r="1" spans="1:22">
      <c r="A1" t="s">
        <v>0</v>
      </c>
      <c r="B1" t="s">
        <v>39</v>
      </c>
      <c r="C1" s="17" t="s">
        <v>40</v>
      </c>
      <c r="D1" s="17" t="s">
        <v>911</v>
      </c>
      <c r="E1" s="10" t="s">
        <v>821</v>
      </c>
      <c r="F1" s="10" t="s">
        <v>41</v>
      </c>
      <c r="G1" t="s">
        <v>42</v>
      </c>
      <c r="H1" t="s">
        <v>43</v>
      </c>
      <c r="I1" t="s">
        <v>882</v>
      </c>
      <c r="J1" t="s">
        <v>63</v>
      </c>
      <c r="K1" t="s">
        <v>44</v>
      </c>
      <c r="L1" t="s">
        <v>45</v>
      </c>
      <c r="M1" t="s">
        <v>46</v>
      </c>
      <c r="N1" t="s">
        <v>47</v>
      </c>
      <c r="O1" t="s">
        <v>65</v>
      </c>
      <c r="P1" t="s">
        <v>66</v>
      </c>
      <c r="Q1" t="s">
        <v>67</v>
      </c>
      <c r="R1" t="s">
        <v>68</v>
      </c>
      <c r="S1" t="s">
        <v>69</v>
      </c>
      <c r="T1" t="s">
        <v>70</v>
      </c>
    </row>
    <row r="2" spans="1:22">
      <c r="A2" t="s">
        <v>10</v>
      </c>
      <c r="B2" t="s">
        <v>48</v>
      </c>
      <c r="C2" s="17" t="s">
        <v>55</v>
      </c>
      <c r="E2" s="10" t="s">
        <v>60</v>
      </c>
      <c r="F2" s="10" t="s">
        <v>62</v>
      </c>
      <c r="G2" s="13">
        <v>716</v>
      </c>
      <c r="H2" s="13"/>
      <c r="I2">
        <v>1400</v>
      </c>
      <c r="J2" s="13">
        <f t="shared" ref="J2:J8" si="0">H2/200+G2+I2/3</f>
        <v>1182.6666666666667</v>
      </c>
      <c r="K2" s="14">
        <f>J2/SUMIFS($J$2:$J$16,$A$2:$A$16,"אשקלון")</f>
        <v>4.9114550344732784E-2</v>
      </c>
      <c r="M2" s="13">
        <v>53594</v>
      </c>
      <c r="N2" s="15">
        <f>M2+L2</f>
        <v>53594</v>
      </c>
      <c r="O2" s="15">
        <v>45316</v>
      </c>
      <c r="P2" s="13">
        <f>O2*J2/1000</f>
        <v>53593.722666666668</v>
      </c>
      <c r="Q2" s="15">
        <f>18.4%*$N2</f>
        <v>9861.2960000000003</v>
      </c>
      <c r="R2" s="15">
        <f>13.8%*$N2</f>
        <v>7395.9720000000007</v>
      </c>
      <c r="S2" s="12">
        <f>1000*$Q2/$J2</f>
        <v>8338.1871476888391</v>
      </c>
      <c r="T2" s="12">
        <f>1000*$R2/$J2</f>
        <v>6253.6403607666298</v>
      </c>
      <c r="U2" s="20">
        <f>SUM(Q$2:Q$8)/SUM(N$2:N$8)</f>
        <v>0.15195106119811952</v>
      </c>
      <c r="V2" s="20">
        <f>SUM(R$2:R$8)/SUM(N$2:N$8)</f>
        <v>0.13158995060529133</v>
      </c>
    </row>
    <row r="3" spans="1:22">
      <c r="A3" t="s">
        <v>10</v>
      </c>
      <c r="B3" t="s">
        <v>49</v>
      </c>
      <c r="D3"/>
      <c r="E3" s="10" t="s">
        <v>61</v>
      </c>
      <c r="F3" s="10" t="s">
        <v>62</v>
      </c>
      <c r="G3" s="13">
        <v>225</v>
      </c>
      <c r="H3" s="13"/>
      <c r="J3" s="13">
        <f t="shared" si="0"/>
        <v>225</v>
      </c>
      <c r="K3" s="14">
        <f t="shared" ref="K3:K8" si="1">J3/SUMIFS($J$2:$J$16,$A$2:$A$16,"אשקלון")</f>
        <v>9.3439463029015291E-3</v>
      </c>
      <c r="M3" s="13">
        <v>10196</v>
      </c>
      <c r="N3" s="15">
        <f t="shared" ref="N3:N22" si="2">M3+L3</f>
        <v>10196</v>
      </c>
      <c r="O3" s="15">
        <v>45316</v>
      </c>
      <c r="P3" s="13">
        <f t="shared" ref="P3:P8" si="3">O3*J3/1000</f>
        <v>10196.1</v>
      </c>
      <c r="Q3" s="15">
        <f>18.8%*$N3</f>
        <v>1916.848</v>
      </c>
      <c r="R3" s="15">
        <f>13.88%*$N3</f>
        <v>1415.2048</v>
      </c>
      <c r="S3" s="12">
        <f t="shared" ref="S3:S8" si="4">1000*$Q3/$J3</f>
        <v>8519.3244444444445</v>
      </c>
      <c r="T3" s="12">
        <f t="shared" ref="T3:T8" si="5">1000*$R3/$J3</f>
        <v>6289.7991111111114</v>
      </c>
      <c r="U3" s="20">
        <f t="shared" ref="U3:U8" si="6">SUM(Q$2:Q$8)/SUM(N$2:N$8)</f>
        <v>0.15195106119811952</v>
      </c>
      <c r="V3" s="20">
        <f t="shared" ref="V3:V8" si="7">SUM(R$2:R$8)/SUM(N$2:N$8)</f>
        <v>0.13158995060529133</v>
      </c>
    </row>
    <row r="4" spans="1:22">
      <c r="A4" t="s">
        <v>10</v>
      </c>
      <c r="B4" t="s">
        <v>50</v>
      </c>
      <c r="C4" s="17" t="s">
        <v>56</v>
      </c>
      <c r="E4" s="100" t="s">
        <v>820</v>
      </c>
      <c r="F4" s="10" t="s">
        <v>62</v>
      </c>
      <c r="G4" s="13">
        <v>11000</v>
      </c>
      <c r="H4" s="13">
        <v>843619</v>
      </c>
      <c r="I4" s="11"/>
      <c r="J4" s="13">
        <f t="shared" si="0"/>
        <v>15218.095000000001</v>
      </c>
      <c r="K4" s="14">
        <f t="shared" si="1"/>
        <v>0.63198694449979675</v>
      </c>
      <c r="M4" s="13">
        <v>689624</v>
      </c>
      <c r="N4" s="15">
        <f t="shared" si="2"/>
        <v>689624</v>
      </c>
      <c r="O4" s="15">
        <v>45316</v>
      </c>
      <c r="P4" s="13">
        <f t="shared" si="3"/>
        <v>689623.19302000012</v>
      </c>
      <c r="Q4" s="15">
        <f>13.9%*$N4</f>
        <v>95857.736000000004</v>
      </c>
      <c r="R4" s="15">
        <f>12.9%*$N4</f>
        <v>88961.495999999999</v>
      </c>
      <c r="S4" s="12">
        <f t="shared" si="4"/>
        <v>6298.9313708450363</v>
      </c>
      <c r="T4" s="12">
        <f t="shared" si="5"/>
        <v>5845.7708405684152</v>
      </c>
      <c r="U4" s="20">
        <f t="shared" si="6"/>
        <v>0.15195106119811952</v>
      </c>
      <c r="V4" s="20">
        <f t="shared" si="7"/>
        <v>0.13158995060529133</v>
      </c>
    </row>
    <row r="5" spans="1:22">
      <c r="A5" t="s">
        <v>10</v>
      </c>
      <c r="B5" t="s">
        <v>51</v>
      </c>
      <c r="C5" s="17" t="s">
        <v>57</v>
      </c>
      <c r="E5" s="10" t="s">
        <v>58</v>
      </c>
      <c r="F5" s="10" t="s">
        <v>62</v>
      </c>
      <c r="G5" s="13">
        <v>494</v>
      </c>
      <c r="H5" s="13"/>
      <c r="I5">
        <v>270</v>
      </c>
      <c r="J5" s="13">
        <f t="shared" si="0"/>
        <v>584</v>
      </c>
      <c r="K5" s="14">
        <f t="shared" si="1"/>
        <v>2.4252731737308859E-2</v>
      </c>
      <c r="M5" s="13">
        <v>26465</v>
      </c>
      <c r="N5" s="15">
        <f t="shared" si="2"/>
        <v>26465</v>
      </c>
      <c r="O5" s="15">
        <v>45316</v>
      </c>
      <c r="P5" s="13">
        <f t="shared" si="3"/>
        <v>26464.544000000002</v>
      </c>
      <c r="Q5" s="15">
        <f>18.65%*$N5</f>
        <v>4935.7224999999999</v>
      </c>
      <c r="R5" s="15">
        <f>13.85%*$N5</f>
        <v>3665.4024999999997</v>
      </c>
      <c r="S5" s="12">
        <f t="shared" si="4"/>
        <v>8451.579623287671</v>
      </c>
      <c r="T5" s="12">
        <f t="shared" si="5"/>
        <v>6276.3741438356155</v>
      </c>
      <c r="U5" s="20">
        <f t="shared" si="6"/>
        <v>0.15195106119811952</v>
      </c>
      <c r="V5" s="20">
        <f t="shared" si="7"/>
        <v>0.13158995060529133</v>
      </c>
    </row>
    <row r="6" spans="1:22">
      <c r="A6" t="s">
        <v>10</v>
      </c>
      <c r="B6" t="s">
        <v>52</v>
      </c>
      <c r="E6" s="10" t="s">
        <v>58</v>
      </c>
      <c r="F6" s="10" t="s">
        <v>62</v>
      </c>
      <c r="G6" s="13">
        <v>5000</v>
      </c>
      <c r="H6" s="13"/>
      <c r="J6" s="13">
        <f t="shared" si="0"/>
        <v>5000</v>
      </c>
      <c r="K6" s="14">
        <f t="shared" si="1"/>
        <v>0.20764325117558954</v>
      </c>
      <c r="M6" s="13">
        <v>226580</v>
      </c>
      <c r="N6" s="15">
        <f t="shared" si="2"/>
        <v>226580</v>
      </c>
      <c r="O6" s="15">
        <v>45316</v>
      </c>
      <c r="P6" s="13">
        <f t="shared" si="3"/>
        <v>226580</v>
      </c>
      <c r="Q6" s="15">
        <f>16.65%*$N6</f>
        <v>37725.569999999992</v>
      </c>
      <c r="R6" s="15">
        <f>13.45%*$N6</f>
        <v>30475.009999999995</v>
      </c>
      <c r="S6" s="12">
        <f t="shared" si="4"/>
        <v>7545.1139999999987</v>
      </c>
      <c r="T6" s="12">
        <f t="shared" si="5"/>
        <v>6095.0019999999995</v>
      </c>
      <c r="U6" s="20">
        <f t="shared" si="6"/>
        <v>0.15195106119811952</v>
      </c>
      <c r="V6" s="20">
        <f t="shared" si="7"/>
        <v>0.13158995060529133</v>
      </c>
    </row>
    <row r="7" spans="1:22">
      <c r="A7" t="s">
        <v>10</v>
      </c>
      <c r="B7" t="s">
        <v>53</v>
      </c>
      <c r="C7" s="17" t="s">
        <v>59</v>
      </c>
      <c r="E7" s="10" t="s">
        <v>61</v>
      </c>
      <c r="F7" s="10" t="s">
        <v>62</v>
      </c>
      <c r="G7" s="13"/>
      <c r="H7" s="13">
        <v>304000</v>
      </c>
      <c r="J7" s="13">
        <f t="shared" si="0"/>
        <v>1520</v>
      </c>
      <c r="K7" s="14">
        <f t="shared" si="1"/>
        <v>6.3123548357379225E-2</v>
      </c>
      <c r="M7" s="13">
        <v>68890</v>
      </c>
      <c r="N7" s="15">
        <f t="shared" si="2"/>
        <v>68890</v>
      </c>
      <c r="O7" s="15">
        <v>45316</v>
      </c>
      <c r="P7" s="13">
        <f t="shared" si="3"/>
        <v>68880.320000000007</v>
      </c>
      <c r="Q7" s="15">
        <f>18.2%*$N7</f>
        <v>12537.98</v>
      </c>
      <c r="R7" s="15">
        <f>13.76%*$N7</f>
        <v>9479.2639999999992</v>
      </c>
      <c r="S7" s="12">
        <f t="shared" si="4"/>
        <v>8248.6710526315783</v>
      </c>
      <c r="T7" s="12">
        <f t="shared" si="5"/>
        <v>6236.3578947368424</v>
      </c>
      <c r="U7" s="20">
        <f t="shared" si="6"/>
        <v>0.15195106119811952</v>
      </c>
      <c r="V7" s="20">
        <f t="shared" si="7"/>
        <v>0.13158995060529133</v>
      </c>
    </row>
    <row r="8" spans="1:22" ht="15.75" thickBot="1">
      <c r="A8" s="115" t="s">
        <v>10</v>
      </c>
      <c r="B8" s="115" t="s">
        <v>54</v>
      </c>
      <c r="C8" s="40"/>
      <c r="D8" s="40"/>
      <c r="E8" s="35" t="s">
        <v>58</v>
      </c>
      <c r="F8" s="35" t="s">
        <v>62</v>
      </c>
      <c r="G8" s="118">
        <v>350</v>
      </c>
      <c r="H8" s="118"/>
      <c r="I8" s="115"/>
      <c r="J8" s="118">
        <f t="shared" si="0"/>
        <v>350</v>
      </c>
      <c r="K8" s="117">
        <f t="shared" si="1"/>
        <v>1.4535027582291268E-2</v>
      </c>
      <c r="L8" s="115"/>
      <c r="M8" s="118">
        <v>15861</v>
      </c>
      <c r="N8" s="38">
        <f t="shared" si="2"/>
        <v>15861</v>
      </c>
      <c r="O8" s="38">
        <v>45316</v>
      </c>
      <c r="P8" s="118">
        <f t="shared" si="3"/>
        <v>15860.6</v>
      </c>
      <c r="Q8" s="38">
        <f>18.759%*$N8</f>
        <v>2975.36499</v>
      </c>
      <c r="R8" s="38">
        <f>13.87%*$N8</f>
        <v>2199.9206999999997</v>
      </c>
      <c r="S8" s="37">
        <f t="shared" si="4"/>
        <v>8501.0428285714297</v>
      </c>
      <c r="T8" s="37">
        <f t="shared" si="5"/>
        <v>6285.4877142857131</v>
      </c>
      <c r="U8" s="120">
        <f t="shared" si="6"/>
        <v>0.15195106119811952</v>
      </c>
      <c r="V8" s="120">
        <f t="shared" si="7"/>
        <v>0.13158995060529133</v>
      </c>
    </row>
    <row r="9" spans="1:22">
      <c r="A9" t="s">
        <v>11</v>
      </c>
      <c r="B9" t="s">
        <v>72</v>
      </c>
      <c r="C9" s="17" t="s">
        <v>82</v>
      </c>
      <c r="D9" s="17" t="s">
        <v>1033</v>
      </c>
      <c r="E9" s="10" t="s">
        <v>61</v>
      </c>
      <c r="F9" s="10" t="s">
        <v>99</v>
      </c>
      <c r="G9" s="13">
        <v>632</v>
      </c>
      <c r="H9" s="23">
        <f>128*100/2</f>
        <v>6400</v>
      </c>
      <c r="J9" s="15">
        <f>H9/100+G9+I9/3</f>
        <v>696</v>
      </c>
      <c r="K9" s="14">
        <f>J9/SUMIFS($J$2:$J$37,$A$2:$A$37,"באר שבע")</f>
        <v>3.4180143104794558E-2</v>
      </c>
      <c r="L9" s="15">
        <f>13000*$G9+7500*$G9</f>
        <v>12956000</v>
      </c>
      <c r="N9" s="15">
        <f t="shared" si="2"/>
        <v>12956000</v>
      </c>
    </row>
    <row r="10" spans="1:22">
      <c r="A10" t="s">
        <v>11</v>
      </c>
      <c r="B10" t="s">
        <v>71</v>
      </c>
      <c r="C10" s="17" t="s">
        <v>83</v>
      </c>
      <c r="E10" s="10" t="s">
        <v>61</v>
      </c>
      <c r="F10" s="10" t="s">
        <v>99</v>
      </c>
      <c r="G10" s="13">
        <v>652</v>
      </c>
      <c r="H10" s="23">
        <f>128*100/2</f>
        <v>6400</v>
      </c>
      <c r="J10" s="15">
        <f>H10/100+G10+I10/3</f>
        <v>716</v>
      </c>
      <c r="K10" s="14">
        <f>J10/SUMIFS($J$2:$J$37,$A$2:$A$37,"באר שבע")</f>
        <v>3.5162331125047276E-2</v>
      </c>
      <c r="L10" s="15">
        <f>13000*$G10+7500*$G10</f>
        <v>13366000</v>
      </c>
      <c r="N10" s="15">
        <f t="shared" si="2"/>
        <v>13366000</v>
      </c>
    </row>
    <row r="11" spans="1:22">
      <c r="A11" t="s">
        <v>11</v>
      </c>
      <c r="B11" t="s">
        <v>73</v>
      </c>
      <c r="C11" s="17" t="s">
        <v>84</v>
      </c>
      <c r="E11" s="10" t="s">
        <v>824</v>
      </c>
      <c r="F11" s="10" t="s">
        <v>99</v>
      </c>
      <c r="G11" s="13">
        <f>1.1*1094+408</f>
        <v>1611.4</v>
      </c>
      <c r="H11" s="23">
        <f>84*100</f>
        <v>8400</v>
      </c>
      <c r="J11" s="15">
        <f>H11/100+G11+I11/3</f>
        <v>1695.4</v>
      </c>
      <c r="K11" s="14">
        <f>J11/SUMIFS($J$2:$J$37,$A$2:$A$37,"באר שבע")</f>
        <v>8.3260078476822832E-2</v>
      </c>
      <c r="L11" s="15">
        <f>13000*$G11+7500*$G11+7000*1094</f>
        <v>40691700</v>
      </c>
      <c r="N11" s="15">
        <f t="shared" si="2"/>
        <v>40691700</v>
      </c>
    </row>
    <row r="12" spans="1:22">
      <c r="A12" t="s">
        <v>11</v>
      </c>
      <c r="B12" t="s">
        <v>74</v>
      </c>
      <c r="C12" s="17" t="s">
        <v>85</v>
      </c>
      <c r="E12" s="10" t="s">
        <v>61</v>
      </c>
      <c r="F12" s="10" t="s">
        <v>99</v>
      </c>
      <c r="G12" s="13">
        <f>1.15*2000</f>
        <v>2300</v>
      </c>
      <c r="H12" s="23">
        <f>50*100</f>
        <v>5000</v>
      </c>
      <c r="J12" s="15">
        <f>H12/100+G12+I12/3</f>
        <v>2350</v>
      </c>
      <c r="K12" s="14">
        <f>J12/SUMIFS($J$2:$J$37,$A$2:$A$37,"באר שבע")</f>
        <v>0.11540709237969426</v>
      </c>
      <c r="L12" s="15">
        <f>20000*$G12+7500*$G12</f>
        <v>63250000</v>
      </c>
      <c r="N12" s="15">
        <f t="shared" si="2"/>
        <v>63250000</v>
      </c>
    </row>
    <row r="13" spans="1:22">
      <c r="A13" t="s">
        <v>11</v>
      </c>
      <c r="B13" t="s">
        <v>75</v>
      </c>
      <c r="C13" s="17" t="s">
        <v>86</v>
      </c>
      <c r="D13" s="17" t="s">
        <v>1034</v>
      </c>
      <c r="E13" s="10" t="s">
        <v>61</v>
      </c>
      <c r="F13" s="10" t="s">
        <v>99</v>
      </c>
      <c r="G13" s="13">
        <f>1.1*945+51</f>
        <v>1090.5</v>
      </c>
      <c r="H13" s="23">
        <f>7*100</f>
        <v>700</v>
      </c>
      <c r="J13" s="15">
        <f t="shared" ref="J13:J26" si="8">H13/100+G13+I13/3</f>
        <v>1097.5</v>
      </c>
      <c r="K13" s="14">
        <f>J13/SUMIFS($J$2:$J$37,$A$2:$A$37,"באר שבע")</f>
        <v>5.3897567611367853E-2</v>
      </c>
      <c r="L13" s="15">
        <f>13000*$G13+7500*$G13+7000*945</f>
        <v>28970250</v>
      </c>
      <c r="N13" s="15">
        <f t="shared" si="2"/>
        <v>28970250</v>
      </c>
    </row>
    <row r="14" spans="1:22">
      <c r="A14" t="s">
        <v>11</v>
      </c>
      <c r="B14" t="s">
        <v>76</v>
      </c>
      <c r="C14" s="17" t="s">
        <v>87</v>
      </c>
      <c r="E14" s="10" t="s">
        <v>61</v>
      </c>
      <c r="F14" s="10" t="s">
        <v>99</v>
      </c>
      <c r="G14" s="13">
        <f>1.2*1424</f>
        <v>1708.8</v>
      </c>
      <c r="H14" s="23">
        <f>23*100</f>
        <v>2300</v>
      </c>
      <c r="J14" s="15">
        <f t="shared" si="8"/>
        <v>1731.8</v>
      </c>
      <c r="K14" s="14">
        <f>J14/SUMIFS($J$2:$J$37,$A$2:$A$37,"באר שבע")</f>
        <v>8.5047660673682773E-2</v>
      </c>
      <c r="L14" s="15">
        <f>20000*$G14+7500*$G14</f>
        <v>46992000</v>
      </c>
      <c r="N14" s="15">
        <f t="shared" si="2"/>
        <v>46992000</v>
      </c>
    </row>
    <row r="15" spans="1:22">
      <c r="A15" t="s">
        <v>11</v>
      </c>
      <c r="B15" t="s">
        <v>77</v>
      </c>
      <c r="C15" s="17" t="s">
        <v>88</v>
      </c>
      <c r="E15" s="10" t="s">
        <v>61</v>
      </c>
      <c r="F15" s="10" t="s">
        <v>99</v>
      </c>
      <c r="G15" s="13">
        <f>1.2*1202</f>
        <v>1442.3999999999999</v>
      </c>
      <c r="H15" s="23">
        <f>8*100</f>
        <v>800</v>
      </c>
      <c r="J15" s="15">
        <f t="shared" si="8"/>
        <v>1450.3999999999999</v>
      </c>
      <c r="K15" s="14">
        <f>J15/SUMIFS($J$2:$J$37,$A$2:$A$37,"באר שבע")</f>
        <v>7.1228275228727045E-2</v>
      </c>
      <c r="L15" s="15">
        <f>20000*$G15+7500*$G15</f>
        <v>39665999.999999993</v>
      </c>
      <c r="N15" s="15">
        <f t="shared" si="2"/>
        <v>39665999.999999993</v>
      </c>
    </row>
    <row r="16" spans="1:22">
      <c r="A16" t="s">
        <v>11</v>
      </c>
      <c r="B16" t="s">
        <v>78</v>
      </c>
      <c r="C16" s="17" t="s">
        <v>89</v>
      </c>
      <c r="E16" s="10" t="s">
        <v>61</v>
      </c>
      <c r="F16" s="10" t="s">
        <v>99</v>
      </c>
      <c r="G16" s="13">
        <f>1.2*1088</f>
        <v>1305.5999999999999</v>
      </c>
      <c r="H16" s="23">
        <f>441*100</f>
        <v>44100</v>
      </c>
      <c r="J16" s="15">
        <f t="shared" si="8"/>
        <v>1746.6</v>
      </c>
      <c r="K16" s="14">
        <f>J16/SUMIFS($J$2:$J$37,$A$2:$A$37,"באר שבע")</f>
        <v>8.5774479808669785E-2</v>
      </c>
      <c r="L16" s="15">
        <f>20000*$G16+7500*$G16</f>
        <v>35904000</v>
      </c>
      <c r="N16" s="15">
        <f t="shared" si="2"/>
        <v>35904000</v>
      </c>
    </row>
    <row r="17" spans="1:22" ht="30">
      <c r="A17" t="s">
        <v>11</v>
      </c>
      <c r="B17" t="s">
        <v>79</v>
      </c>
      <c r="C17" s="17" t="s">
        <v>90</v>
      </c>
      <c r="E17" s="100" t="s">
        <v>822</v>
      </c>
      <c r="F17" s="10" t="s">
        <v>99</v>
      </c>
      <c r="G17" s="13">
        <v>420</v>
      </c>
      <c r="H17" s="23"/>
      <c r="J17" s="15">
        <f t="shared" si="8"/>
        <v>420</v>
      </c>
      <c r="K17" s="14">
        <f>J17/SUMIFS($J$2:$J$37,$A$2:$A$37,"באר שבע")</f>
        <v>2.0625948425307059E-2</v>
      </c>
      <c r="L17" s="15">
        <f>13000*$G17+7500*$G17</f>
        <v>8610000</v>
      </c>
      <c r="N17" s="15">
        <f t="shared" si="2"/>
        <v>8610000</v>
      </c>
    </row>
    <row r="18" spans="1:22">
      <c r="A18" t="s">
        <v>11</v>
      </c>
      <c r="B18" t="s">
        <v>80</v>
      </c>
      <c r="C18" s="17" t="s">
        <v>92</v>
      </c>
      <c r="E18" s="10" t="s">
        <v>91</v>
      </c>
      <c r="F18" s="10" t="s">
        <v>99</v>
      </c>
      <c r="G18" s="13">
        <v>4088</v>
      </c>
      <c r="H18" s="23">
        <f>40*100</f>
        <v>4000</v>
      </c>
      <c r="J18" s="15">
        <f t="shared" si="8"/>
        <v>4128</v>
      </c>
      <c r="K18" s="14">
        <f>J18/SUMIFS($J$2:$J$37,$A$2:$A$37,"באר שבע")</f>
        <v>0.20272360738016082</v>
      </c>
      <c r="L18" s="15">
        <f>20000*$G18+7500*$G18</f>
        <v>112420000</v>
      </c>
      <c r="N18" s="15">
        <f t="shared" si="2"/>
        <v>112420000</v>
      </c>
    </row>
    <row r="19" spans="1:22" ht="15.75" thickBot="1">
      <c r="A19" s="115" t="s">
        <v>11</v>
      </c>
      <c r="B19" s="115" t="s">
        <v>81</v>
      </c>
      <c r="C19" s="40" t="s">
        <v>93</v>
      </c>
      <c r="D19" s="40" t="s">
        <v>1032</v>
      </c>
      <c r="E19" s="35" t="s">
        <v>61</v>
      </c>
      <c r="F19" s="35" t="s">
        <v>1031</v>
      </c>
      <c r="G19" s="118">
        <v>4136</v>
      </c>
      <c r="H19" s="119">
        <f>195*100</f>
        <v>19500</v>
      </c>
      <c r="I19" s="115"/>
      <c r="J19" s="38">
        <f t="shared" si="8"/>
        <v>4331</v>
      </c>
      <c r="K19" s="117">
        <f>J19/SUMIFS($J$2:$J$37,$A$2:$A$37,"באר שבע")</f>
        <v>0.21269281578572588</v>
      </c>
      <c r="L19" s="38">
        <f>20000*$G19+7500*$G19</f>
        <v>113740000</v>
      </c>
      <c r="M19" s="115"/>
      <c r="N19" s="38">
        <f t="shared" si="2"/>
        <v>113740000</v>
      </c>
      <c r="O19" s="115"/>
      <c r="P19" s="115"/>
      <c r="Q19" s="115"/>
      <c r="R19" s="115"/>
      <c r="S19" s="115"/>
      <c r="T19" s="115"/>
      <c r="U19" s="115"/>
      <c r="V19" s="115"/>
    </row>
    <row r="20" spans="1:22">
      <c r="A20" t="s">
        <v>12</v>
      </c>
      <c r="B20" t="s">
        <v>100</v>
      </c>
      <c r="C20" s="17" t="s">
        <v>103</v>
      </c>
      <c r="E20" s="10" t="s">
        <v>61</v>
      </c>
      <c r="F20" s="10" t="s">
        <v>1080</v>
      </c>
      <c r="G20" s="13">
        <v>4573</v>
      </c>
      <c r="H20">
        <f>100*(87+49)</f>
        <v>13600</v>
      </c>
      <c r="J20" s="15">
        <f t="shared" si="8"/>
        <v>4709</v>
      </c>
      <c r="K20" s="14">
        <f>J20/SUMIFS($J$2:$J$37,$A$2:$A$37,"קריית ביאליק")</f>
        <v>0.62173224188011622</v>
      </c>
      <c r="L20" s="15">
        <f>7500*$G20+114405000</f>
        <v>148702500</v>
      </c>
      <c r="M20" s="15">
        <v>983243710</v>
      </c>
      <c r="N20" s="15">
        <f t="shared" si="2"/>
        <v>1131946210</v>
      </c>
      <c r="O20" s="16"/>
    </row>
    <row r="21" spans="1:22">
      <c r="A21" t="s">
        <v>12</v>
      </c>
      <c r="B21" t="s">
        <v>101</v>
      </c>
      <c r="C21" s="17" t="s">
        <v>1078</v>
      </c>
      <c r="E21" s="10" t="s">
        <v>61</v>
      </c>
      <c r="F21" s="10" t="s">
        <v>1079</v>
      </c>
      <c r="G21" s="13">
        <v>1917</v>
      </c>
      <c r="J21" s="15">
        <f t="shared" si="8"/>
        <v>1917</v>
      </c>
      <c r="K21" s="14">
        <f>J21/SUMIFS($J$2:$J$37,$A$2:$A$37,"קריית ביאליק")</f>
        <v>0.2531027198310008</v>
      </c>
      <c r="L21" s="15">
        <f>7500*$G21</f>
        <v>14377500</v>
      </c>
      <c r="N21" s="15">
        <f t="shared" si="2"/>
        <v>14377500</v>
      </c>
    </row>
    <row r="22" spans="1:22" ht="15.75" thickBot="1">
      <c r="A22" s="115" t="s">
        <v>12</v>
      </c>
      <c r="B22" s="115" t="s">
        <v>102</v>
      </c>
      <c r="C22" s="121" t="s">
        <v>839</v>
      </c>
      <c r="D22" s="121"/>
      <c r="E22" s="35" t="s">
        <v>61</v>
      </c>
      <c r="F22" s="10" t="s">
        <v>1079</v>
      </c>
      <c r="G22" s="118">
        <v>948</v>
      </c>
      <c r="H22" s="115"/>
      <c r="I22" s="115"/>
      <c r="J22" s="38">
        <f t="shared" si="8"/>
        <v>948</v>
      </c>
      <c r="K22" s="117">
        <f>J22/SUMIFS($J$2:$J$37,$A$2:$A$37,"קריית ביאליק")</f>
        <v>0.12516503828888301</v>
      </c>
      <c r="L22" s="38">
        <f>7500*$G22</f>
        <v>7110000</v>
      </c>
      <c r="M22" s="115"/>
      <c r="N22" s="38">
        <f t="shared" si="2"/>
        <v>7110000</v>
      </c>
      <c r="O22" s="115"/>
      <c r="P22" s="115"/>
      <c r="Q22" s="115"/>
      <c r="R22" s="115"/>
      <c r="S22" s="115"/>
      <c r="T22" s="115"/>
      <c r="U22" s="115"/>
      <c r="V22" s="115"/>
    </row>
    <row r="23" spans="1:22">
      <c r="A23" t="s">
        <v>110</v>
      </c>
      <c r="B23" t="s">
        <v>111</v>
      </c>
      <c r="C23" s="128" t="s">
        <v>113</v>
      </c>
      <c r="D23" s="128"/>
      <c r="E23" s="10" t="s">
        <v>116</v>
      </c>
      <c r="F23" s="10" t="s">
        <v>120</v>
      </c>
      <c r="G23" s="15">
        <f>1845-120</f>
        <v>1725</v>
      </c>
      <c r="H23" s="23"/>
      <c r="I23">
        <v>120</v>
      </c>
      <c r="J23" s="15">
        <f t="shared" si="8"/>
        <v>1765</v>
      </c>
      <c r="K23" s="14">
        <f>J23/SUMIFS($J$2:$J$37,$A$2:$A$37,"מודיעין")</f>
        <v>0.15054588877516206</v>
      </c>
      <c r="L23" s="15">
        <f t="shared" ref="L23:L54" si="9">7500*$G23</f>
        <v>12937500</v>
      </c>
    </row>
    <row r="24" spans="1:22">
      <c r="A24" t="s">
        <v>110</v>
      </c>
      <c r="B24" t="s">
        <v>112</v>
      </c>
      <c r="C24" s="128" t="s">
        <v>114</v>
      </c>
      <c r="D24" s="128"/>
      <c r="E24" s="10" t="s">
        <v>117</v>
      </c>
      <c r="F24" s="10" t="s">
        <v>120</v>
      </c>
      <c r="G24" s="15">
        <v>1450</v>
      </c>
      <c r="H24" s="23"/>
      <c r="J24" s="15">
        <f t="shared" si="8"/>
        <v>1450</v>
      </c>
      <c r="K24" s="14">
        <f>J24/SUMIFS($J$2:$J$37,$A$2:$A$37,"מודיעין")</f>
        <v>0.12367792562265438</v>
      </c>
      <c r="L24" s="15">
        <f t="shared" si="9"/>
        <v>10875000</v>
      </c>
    </row>
    <row r="25" spans="1:22">
      <c r="A25" t="s">
        <v>110</v>
      </c>
      <c r="B25" t="s">
        <v>121</v>
      </c>
      <c r="C25" s="128" t="s">
        <v>891</v>
      </c>
      <c r="D25" s="128"/>
      <c r="E25" s="10" t="s">
        <v>118</v>
      </c>
      <c r="F25" s="10" t="s">
        <v>120</v>
      </c>
      <c r="G25" s="15">
        <v>3867</v>
      </c>
      <c r="H25" s="23"/>
      <c r="J25" s="15">
        <f t="shared" si="8"/>
        <v>3867</v>
      </c>
      <c r="K25" s="14">
        <f>J25/SUMIFS($J$2:$J$37,$A$2:$A$37,"מודיעין")</f>
        <v>0.32983623336745138</v>
      </c>
      <c r="L25" s="15">
        <f t="shared" si="9"/>
        <v>29002500</v>
      </c>
    </row>
    <row r="26" spans="1:22" ht="15.75" thickBot="1">
      <c r="A26" s="115" t="s">
        <v>110</v>
      </c>
      <c r="B26" s="115" t="s">
        <v>122</v>
      </c>
      <c r="C26" s="40" t="s">
        <v>115</v>
      </c>
      <c r="D26" s="40"/>
      <c r="E26" s="35" t="s">
        <v>119</v>
      </c>
      <c r="F26" s="35" t="s">
        <v>120</v>
      </c>
      <c r="G26" s="38">
        <v>4642</v>
      </c>
      <c r="H26" s="119"/>
      <c r="I26" s="115"/>
      <c r="J26" s="38">
        <f t="shared" si="8"/>
        <v>4642</v>
      </c>
      <c r="K26" s="117">
        <f>J26/SUMIFS($J$2:$J$37,$A$2:$A$37,"מודיעין")</f>
        <v>0.39593995223473216</v>
      </c>
      <c r="L26" s="38">
        <f t="shared" si="9"/>
        <v>34815000</v>
      </c>
      <c r="M26" s="115"/>
      <c r="N26" s="115"/>
      <c r="O26" s="115"/>
      <c r="P26" s="115"/>
      <c r="Q26" s="115"/>
      <c r="R26" s="115"/>
      <c r="S26" s="115"/>
      <c r="T26" s="115"/>
      <c r="U26" s="115"/>
      <c r="V26" s="115"/>
    </row>
    <row r="27" spans="1:22" ht="30">
      <c r="A27" t="s">
        <v>14</v>
      </c>
      <c r="B27" t="s">
        <v>123</v>
      </c>
      <c r="C27" s="17" t="s">
        <v>130</v>
      </c>
      <c r="E27" s="10" t="s">
        <v>132</v>
      </c>
      <c r="F27" s="10" t="s">
        <v>137</v>
      </c>
      <c r="G27" s="15">
        <v>1581</v>
      </c>
      <c r="H27" s="15">
        <v>2100</v>
      </c>
      <c r="J27" s="16">
        <f>H27/400+G27+I27/3</f>
        <v>1586.25</v>
      </c>
      <c r="K27" s="14">
        <f>J27/SUMIFS($J$2:$J$37,$A$2:$A$37,"עפולה")</f>
        <v>0.11446023296129998</v>
      </c>
      <c r="L27" s="15">
        <f t="shared" si="9"/>
        <v>11857500</v>
      </c>
      <c r="M27" s="15">
        <v>70138000</v>
      </c>
      <c r="N27" s="15">
        <f t="shared" ref="N27:N33" si="10">M27+L27</f>
        <v>81995500</v>
      </c>
      <c r="O27" s="15">
        <v>44220</v>
      </c>
      <c r="P27" s="13">
        <f t="shared" ref="P27:P33" si="11">O27*J27/1000</f>
        <v>70143.975000000006</v>
      </c>
      <c r="Q27" s="15">
        <f>18.2%*$N27</f>
        <v>14923181</v>
      </c>
      <c r="R27" s="15">
        <f>13.74%*$N27</f>
        <v>11266181.699999999</v>
      </c>
      <c r="S27" s="15">
        <f t="shared" ref="S27:S33" si="12">1000*$Q27/$J27</f>
        <v>9407836.7218282111</v>
      </c>
      <c r="T27" s="15">
        <f t="shared" ref="T27:T33" si="13">1000*$R27/$J27</f>
        <v>7102399.8108747043</v>
      </c>
      <c r="U27" s="20">
        <f>SUM(Q$27:Q$33)/SUM(N$27:$N$33)</f>
        <v>0.16148479293055862</v>
      </c>
      <c r="V27" s="20">
        <f>SUM(R$27:R$33)/SUM($N$27:N$33)</f>
        <v>0.13324353327424193</v>
      </c>
    </row>
    <row r="28" spans="1:22">
      <c r="A28" t="s">
        <v>14</v>
      </c>
      <c r="B28" t="s">
        <v>124</v>
      </c>
      <c r="E28" s="10" t="s">
        <v>133</v>
      </c>
      <c r="F28" s="10" t="s">
        <v>137</v>
      </c>
      <c r="G28" s="15">
        <v>7000</v>
      </c>
      <c r="H28" s="15">
        <v>250000</v>
      </c>
      <c r="J28" s="16">
        <f t="shared" ref="J28:J33" si="14">H28/400+G28+I28/3</f>
        <v>7625</v>
      </c>
      <c r="K28" s="14">
        <f>J28/SUMIFS($J$2:$J$37,$A$2:$A$37,"עפולה")</f>
        <v>0.55020285347827413</v>
      </c>
      <c r="L28" s="15">
        <f t="shared" si="9"/>
        <v>52500000</v>
      </c>
      <c r="M28" s="15">
        <v>337147000</v>
      </c>
      <c r="N28" s="15">
        <f t="shared" si="10"/>
        <v>389647000</v>
      </c>
      <c r="O28" s="15">
        <v>44220</v>
      </c>
      <c r="P28" s="13">
        <f t="shared" si="11"/>
        <v>337177.5</v>
      </c>
      <c r="Q28" s="15">
        <f>15%*$N28</f>
        <v>58447050</v>
      </c>
      <c r="R28" s="15">
        <f>13.1%*$N28</f>
        <v>51043757</v>
      </c>
      <c r="S28" s="15">
        <f t="shared" si="12"/>
        <v>7665186.8852459015</v>
      </c>
      <c r="T28" s="15">
        <f t="shared" si="13"/>
        <v>6694263.2131147543</v>
      </c>
      <c r="U28" s="20">
        <f>SUM(Q$27:Q$33)/SUM(N$27:$N$33)</f>
        <v>0.16148479293055862</v>
      </c>
      <c r="V28" s="20">
        <f>SUM(R$27:R$33)/SUM($N$27:N$33)</f>
        <v>0.13324353327424193</v>
      </c>
    </row>
    <row r="29" spans="1:22">
      <c r="A29" t="s">
        <v>14</v>
      </c>
      <c r="B29" t="s">
        <v>125</v>
      </c>
      <c r="C29" s="17" t="s">
        <v>131</v>
      </c>
      <c r="E29" s="10" t="s">
        <v>133</v>
      </c>
      <c r="F29" s="10" t="s">
        <v>137</v>
      </c>
      <c r="G29" s="15">
        <v>250</v>
      </c>
      <c r="H29" s="15"/>
      <c r="J29" s="16">
        <f t="shared" si="14"/>
        <v>250</v>
      </c>
      <c r="K29" s="14">
        <f>J29/SUMIFS($J$2:$J$37,$A$2:$A$37,"עפולה")</f>
        <v>1.8039437818959808E-2</v>
      </c>
      <c r="L29" s="15">
        <f t="shared" si="9"/>
        <v>1875000</v>
      </c>
      <c r="M29" s="15">
        <v>11054000</v>
      </c>
      <c r="N29" s="15">
        <f t="shared" si="10"/>
        <v>12929000</v>
      </c>
      <c r="O29" s="15">
        <v>44220</v>
      </c>
      <c r="P29" s="13">
        <f t="shared" si="11"/>
        <v>11055</v>
      </c>
      <c r="Q29" s="15">
        <f>18.8%*$N29</f>
        <v>2430652</v>
      </c>
      <c r="R29" s="15">
        <f>13.88%*$N29</f>
        <v>1794545.2000000002</v>
      </c>
      <c r="S29" s="15">
        <f t="shared" si="12"/>
        <v>9722608</v>
      </c>
      <c r="T29" s="15">
        <f t="shared" si="13"/>
        <v>7178180.8000000007</v>
      </c>
      <c r="U29" s="20">
        <f>SUM(Q$27:Q$33)/SUM(N$27:$N$33)</f>
        <v>0.16148479293055862</v>
      </c>
      <c r="V29" s="20">
        <f>SUM(R$27:R$33)/SUM($N$27:N$33)</f>
        <v>0.13324353327424193</v>
      </c>
    </row>
    <row r="30" spans="1:22">
      <c r="A30" t="s">
        <v>14</v>
      </c>
      <c r="B30" t="s">
        <v>126</v>
      </c>
      <c r="E30" s="10" t="s">
        <v>133</v>
      </c>
      <c r="F30" s="10" t="s">
        <v>137</v>
      </c>
      <c r="G30" s="15">
        <v>120</v>
      </c>
      <c r="H30" s="15"/>
      <c r="J30" s="16">
        <f t="shared" si="14"/>
        <v>120</v>
      </c>
      <c r="K30" s="14">
        <f>J30/SUMIFS($J$2:$J$37,$A$2:$A$37,"עפולה")</f>
        <v>8.6589301531007079E-3</v>
      </c>
      <c r="L30" s="15">
        <f t="shared" si="9"/>
        <v>900000</v>
      </c>
      <c r="M30" s="15">
        <v>5306000</v>
      </c>
      <c r="N30" s="15">
        <f t="shared" si="10"/>
        <v>6206000</v>
      </c>
      <c r="O30" s="15">
        <v>44220</v>
      </c>
      <c r="P30" s="13">
        <f t="shared" si="11"/>
        <v>5306.4</v>
      </c>
      <c r="Q30" s="15">
        <f>18.85%*$N30</f>
        <v>1169831</v>
      </c>
      <c r="R30" s="15">
        <f>13.89%*$N30</f>
        <v>862013.4</v>
      </c>
      <c r="S30" s="15">
        <f t="shared" si="12"/>
        <v>9748591.666666666</v>
      </c>
      <c r="T30" s="15">
        <f t="shared" si="13"/>
        <v>7183445</v>
      </c>
      <c r="U30" s="20">
        <f>SUM(Q$27:Q$33)/SUM(N$27:$N$33)</f>
        <v>0.16148479293055862</v>
      </c>
      <c r="V30" s="20">
        <f>SUM(R$27:R$33)/SUM($N$27:N$33)</f>
        <v>0.13324353327424193</v>
      </c>
    </row>
    <row r="31" spans="1:22">
      <c r="A31" t="s">
        <v>14</v>
      </c>
      <c r="B31" t="s">
        <v>127</v>
      </c>
      <c r="C31" s="17" t="s">
        <v>134</v>
      </c>
      <c r="E31" s="10" t="s">
        <v>116</v>
      </c>
      <c r="F31" s="10" t="s">
        <v>137</v>
      </c>
      <c r="G31" s="15">
        <v>185</v>
      </c>
      <c r="H31" s="15">
        <v>1219</v>
      </c>
      <c r="J31" s="16">
        <f t="shared" si="14"/>
        <v>188.04750000000001</v>
      </c>
      <c r="K31" s="14">
        <f>J31/SUMIFS($J$2:$J$37,$A$2:$A$37,"עפולה")</f>
        <v>1.356908473304338E-2</v>
      </c>
      <c r="L31" s="15">
        <f t="shared" si="9"/>
        <v>1387500</v>
      </c>
      <c r="M31" s="15">
        <v>8315000</v>
      </c>
      <c r="N31" s="15">
        <f t="shared" si="10"/>
        <v>9702500</v>
      </c>
      <c r="O31" s="15">
        <v>44220</v>
      </c>
      <c r="P31" s="13">
        <f t="shared" si="11"/>
        <v>8315.4604500000005</v>
      </c>
      <c r="Q31" s="15">
        <f>18.8%*$N31</f>
        <v>1824070</v>
      </c>
      <c r="R31" s="15">
        <f>13.88%*$N31</f>
        <v>1346707</v>
      </c>
      <c r="S31" s="15">
        <f t="shared" si="12"/>
        <v>9700049.1896994095</v>
      </c>
      <c r="T31" s="15">
        <f t="shared" si="13"/>
        <v>7161525.6783525432</v>
      </c>
      <c r="U31" s="20">
        <f>SUM(Q$27:Q$33)/SUM(N$27:$N$33)</f>
        <v>0.16148479293055862</v>
      </c>
      <c r="V31" s="20">
        <f>SUM(R$27:R$33)/SUM($N$27:N$33)</f>
        <v>0.13324353327424193</v>
      </c>
    </row>
    <row r="32" spans="1:22" ht="30">
      <c r="A32" t="s">
        <v>14</v>
      </c>
      <c r="B32" t="s">
        <v>128</v>
      </c>
      <c r="C32" s="17" t="s">
        <v>135</v>
      </c>
      <c r="E32" s="10" t="s">
        <v>116</v>
      </c>
      <c r="F32" s="10" t="s">
        <v>137</v>
      </c>
      <c r="G32" s="15"/>
      <c r="H32" s="15">
        <v>1500</v>
      </c>
      <c r="J32" s="16">
        <f t="shared" si="14"/>
        <v>3.75</v>
      </c>
      <c r="K32" s="14">
        <f>J32/SUMIFS($J$2:$J$37,$A$2:$A$37,"עפולה")</f>
        <v>2.7059156728439712E-4</v>
      </c>
      <c r="L32" s="15">
        <f t="shared" si="9"/>
        <v>0</v>
      </c>
      <c r="M32" s="15">
        <v>166000</v>
      </c>
      <c r="N32" s="15">
        <f t="shared" si="10"/>
        <v>166000</v>
      </c>
      <c r="O32" s="15">
        <v>44220</v>
      </c>
      <c r="P32" s="13">
        <f t="shared" si="11"/>
        <v>165.82499999999999</v>
      </c>
      <c r="Q32" s="15">
        <f>18.9%*$N32</f>
        <v>31373.999999999996</v>
      </c>
      <c r="R32" s="15">
        <f>13.9%*$N32</f>
        <v>23074.000000000004</v>
      </c>
      <c r="S32" s="15">
        <f t="shared" si="12"/>
        <v>8366399.9999999991</v>
      </c>
      <c r="T32" s="15">
        <f t="shared" si="13"/>
        <v>6153066.6666666679</v>
      </c>
      <c r="U32" s="20">
        <f>SUM(Q$27:Q$33)/SUM(N$27:$N$33)</f>
        <v>0.16148479293055862</v>
      </c>
      <c r="V32" s="20">
        <f>SUM(R$27:R$33)/SUM($N$27:N$33)</f>
        <v>0.13324353327424193</v>
      </c>
    </row>
    <row r="33" spans="1:22" ht="30.75" thickBot="1">
      <c r="A33" s="115" t="s">
        <v>14</v>
      </c>
      <c r="B33" s="115" t="s">
        <v>129</v>
      </c>
      <c r="C33" s="40" t="s">
        <v>136</v>
      </c>
      <c r="D33" s="40"/>
      <c r="E33" s="35" t="s">
        <v>58</v>
      </c>
      <c r="F33" s="35" t="s">
        <v>137</v>
      </c>
      <c r="G33" s="38">
        <v>4000</v>
      </c>
      <c r="H33" s="38">
        <v>34191</v>
      </c>
      <c r="I33" s="115"/>
      <c r="J33" s="116">
        <f t="shared" si="14"/>
        <v>4085.4775</v>
      </c>
      <c r="K33" s="117">
        <f>J33/SUMIFS($J$2:$J$37,$A$2:$A$37,"עפולה")</f>
        <v>0.2947988692880375</v>
      </c>
      <c r="L33" s="38">
        <f t="shared" si="9"/>
        <v>30000000</v>
      </c>
      <c r="M33" s="38">
        <v>63913000</v>
      </c>
      <c r="N33" s="38">
        <f t="shared" si="10"/>
        <v>93913000</v>
      </c>
      <c r="O33" s="38">
        <v>44220</v>
      </c>
      <c r="P33" s="118">
        <f t="shared" si="11"/>
        <v>180659.81505</v>
      </c>
      <c r="Q33" s="38">
        <f>18.3%*$N33</f>
        <v>17186079</v>
      </c>
      <c r="R33" s="38">
        <f>13.72%*$N33</f>
        <v>12884863.600000001</v>
      </c>
      <c r="S33" s="38">
        <f t="shared" si="12"/>
        <v>4206626.7651700443</v>
      </c>
      <c r="T33" s="38">
        <f t="shared" si="13"/>
        <v>3153820.7223023507</v>
      </c>
      <c r="U33" s="120">
        <f>SUM(Q$27:Q$33)/SUM(N$27:$N$33)</f>
        <v>0.16148479293055862</v>
      </c>
      <c r="V33" s="120">
        <f>SUM(R$27:R$33)/SUM($N$27:N$33)</f>
        <v>0.13324353327424193</v>
      </c>
    </row>
    <row r="34" spans="1:22" ht="45">
      <c r="A34" t="s">
        <v>15</v>
      </c>
      <c r="B34" t="s">
        <v>154</v>
      </c>
      <c r="C34" s="17" t="s">
        <v>158</v>
      </c>
      <c r="D34" s="17" t="s">
        <v>915</v>
      </c>
      <c r="E34" s="10" t="s">
        <v>61</v>
      </c>
      <c r="F34" s="10" t="s">
        <v>162</v>
      </c>
      <c r="G34" s="15">
        <v>936</v>
      </c>
      <c r="L34" s="15">
        <f t="shared" si="9"/>
        <v>7020000</v>
      </c>
    </row>
    <row r="35" spans="1:22" ht="30.75" thickBot="1">
      <c r="A35" t="s">
        <v>15</v>
      </c>
      <c r="B35" t="s">
        <v>155</v>
      </c>
      <c r="C35" s="17" t="s">
        <v>159</v>
      </c>
      <c r="D35" s="17" t="s">
        <v>912</v>
      </c>
      <c r="E35" s="10" t="s">
        <v>61</v>
      </c>
      <c r="F35" s="10" t="s">
        <v>162</v>
      </c>
      <c r="G35" s="15">
        <v>1320</v>
      </c>
      <c r="L35" s="15">
        <f t="shared" si="9"/>
        <v>9900000</v>
      </c>
    </row>
    <row r="36" spans="1:22" ht="15.75" thickBot="1">
      <c r="A36" t="s">
        <v>15</v>
      </c>
      <c r="B36" t="s">
        <v>156</v>
      </c>
      <c r="C36" s="17" t="s">
        <v>160</v>
      </c>
      <c r="D36" s="139" t="s">
        <v>913</v>
      </c>
      <c r="E36" s="10" t="s">
        <v>61</v>
      </c>
      <c r="F36" s="10" t="s">
        <v>162</v>
      </c>
      <c r="G36" s="15">
        <v>2553</v>
      </c>
      <c r="L36" s="15">
        <f t="shared" si="9"/>
        <v>19147500</v>
      </c>
    </row>
    <row r="37" spans="1:22" ht="30.75" thickBot="1">
      <c r="A37" s="115" t="s">
        <v>15</v>
      </c>
      <c r="B37" s="115" t="s">
        <v>157</v>
      </c>
      <c r="C37" s="40" t="s">
        <v>161</v>
      </c>
      <c r="D37" s="40" t="s">
        <v>914</v>
      </c>
      <c r="E37" s="35" t="s">
        <v>61</v>
      </c>
      <c r="F37" s="35" t="s">
        <v>162</v>
      </c>
      <c r="G37" s="38">
        <v>1633</v>
      </c>
      <c r="H37" s="115"/>
      <c r="I37" s="115"/>
      <c r="J37" s="115"/>
      <c r="K37" s="115"/>
      <c r="L37" s="38">
        <f t="shared" si="9"/>
        <v>12247500</v>
      </c>
      <c r="M37" s="115"/>
      <c r="N37" s="115"/>
      <c r="O37" s="115"/>
      <c r="P37" s="115"/>
      <c r="Q37" s="115"/>
      <c r="R37" s="115"/>
      <c r="S37" s="115"/>
      <c r="T37" s="115"/>
      <c r="U37" s="115"/>
      <c r="V37" s="115"/>
    </row>
    <row r="38" spans="1:22" ht="30">
      <c r="A38" t="s">
        <v>16</v>
      </c>
      <c r="B38" t="s">
        <v>174</v>
      </c>
      <c r="C38" s="17" t="s">
        <v>180</v>
      </c>
      <c r="D38" s="17" t="s">
        <v>1028</v>
      </c>
      <c r="E38" s="10" t="s">
        <v>61</v>
      </c>
      <c r="G38" s="15">
        <v>2940</v>
      </c>
      <c r="L38" s="15">
        <f t="shared" si="9"/>
        <v>22050000</v>
      </c>
    </row>
    <row r="39" spans="1:22" ht="45">
      <c r="A39" t="s">
        <v>16</v>
      </c>
      <c r="B39" t="s">
        <v>175</v>
      </c>
      <c r="C39" s="17" t="s">
        <v>181</v>
      </c>
      <c r="D39" s="17" t="s">
        <v>1027</v>
      </c>
      <c r="E39" s="10" t="s">
        <v>61</v>
      </c>
      <c r="G39" s="15">
        <v>4613</v>
      </c>
      <c r="L39" s="15">
        <f t="shared" si="9"/>
        <v>34597500</v>
      </c>
    </row>
    <row r="40" spans="1:22">
      <c r="A40" t="s">
        <v>16</v>
      </c>
      <c r="B40" t="s">
        <v>176</v>
      </c>
      <c r="C40" s="17" t="s">
        <v>182</v>
      </c>
      <c r="E40" s="10" t="s">
        <v>61</v>
      </c>
      <c r="G40" s="15">
        <v>1363</v>
      </c>
      <c r="L40" s="15">
        <f t="shared" si="9"/>
        <v>10222500</v>
      </c>
    </row>
    <row r="41" spans="1:22">
      <c r="A41" t="s">
        <v>16</v>
      </c>
      <c r="B41" t="s">
        <v>177</v>
      </c>
      <c r="C41" s="17" t="s">
        <v>183</v>
      </c>
      <c r="E41" s="10" t="s">
        <v>61</v>
      </c>
      <c r="G41" s="15">
        <v>1718</v>
      </c>
      <c r="L41" s="15">
        <f t="shared" si="9"/>
        <v>12885000</v>
      </c>
    </row>
    <row r="42" spans="1:22">
      <c r="A42" t="s">
        <v>16</v>
      </c>
      <c r="B42" t="s">
        <v>178</v>
      </c>
      <c r="C42" s="17" t="s">
        <v>184</v>
      </c>
      <c r="D42" s="17" t="s">
        <v>1026</v>
      </c>
      <c r="E42" s="10" t="s">
        <v>61</v>
      </c>
      <c r="G42" s="15">
        <v>2393</v>
      </c>
      <c r="L42" s="15">
        <f t="shared" si="9"/>
        <v>17947500</v>
      </c>
    </row>
    <row r="43" spans="1:22">
      <c r="A43" t="s">
        <v>16</v>
      </c>
      <c r="B43" t="s">
        <v>179</v>
      </c>
      <c r="C43" s="17" t="s">
        <v>185</v>
      </c>
      <c r="E43" s="10" t="s">
        <v>61</v>
      </c>
      <c r="G43" s="15">
        <v>609</v>
      </c>
      <c r="L43" s="15">
        <f t="shared" si="9"/>
        <v>4567500</v>
      </c>
    </row>
    <row r="44" spans="1:22" ht="15.75" thickBot="1">
      <c r="A44" s="115" t="s">
        <v>16</v>
      </c>
      <c r="B44" s="115" t="s">
        <v>187</v>
      </c>
      <c r="C44" s="40" t="s">
        <v>186</v>
      </c>
      <c r="D44" s="40" t="s">
        <v>1029</v>
      </c>
      <c r="E44" s="10" t="s">
        <v>61</v>
      </c>
      <c r="F44" s="35" t="s">
        <v>1030</v>
      </c>
      <c r="G44" s="38">
        <v>1300</v>
      </c>
      <c r="H44" s="115"/>
      <c r="I44" s="115"/>
      <c r="J44" s="115"/>
      <c r="K44" s="115"/>
      <c r="L44" s="38">
        <f t="shared" si="9"/>
        <v>9750000</v>
      </c>
      <c r="M44" s="115"/>
      <c r="N44" s="115"/>
      <c r="O44" s="115"/>
      <c r="P44" s="115"/>
      <c r="Q44" s="115"/>
      <c r="R44" s="115"/>
      <c r="S44" s="115"/>
      <c r="T44" s="115"/>
      <c r="U44" s="115"/>
      <c r="V44" s="115"/>
    </row>
    <row r="45" spans="1:22">
      <c r="A45" t="s">
        <v>17</v>
      </c>
      <c r="B45" t="s">
        <v>189</v>
      </c>
      <c r="C45" s="17" t="s">
        <v>199</v>
      </c>
      <c r="D45" s="17" t="s">
        <v>628</v>
      </c>
      <c r="E45" s="10" t="s">
        <v>116</v>
      </c>
      <c r="F45" s="10" t="s">
        <v>207</v>
      </c>
      <c r="G45" s="31">
        <v>600</v>
      </c>
      <c r="H45" s="13"/>
      <c r="L45" s="15">
        <f t="shared" si="9"/>
        <v>4500000</v>
      </c>
    </row>
    <row r="46" spans="1:22" ht="30">
      <c r="A46" t="s">
        <v>17</v>
      </c>
      <c r="B46" t="s">
        <v>190</v>
      </c>
      <c r="C46" s="17" t="s">
        <v>1038</v>
      </c>
      <c r="D46" s="17" t="s">
        <v>1041</v>
      </c>
      <c r="E46" s="10" t="s">
        <v>208</v>
      </c>
      <c r="F46" s="10" t="s">
        <v>207</v>
      </c>
      <c r="G46" s="31">
        <f>1393+250</f>
        <v>1643</v>
      </c>
      <c r="H46" s="13">
        <v>3000</v>
      </c>
      <c r="J46" s="15">
        <f>H46/100+G46+I46/3</f>
        <v>1673</v>
      </c>
      <c r="K46" s="14">
        <f>J46/SUMIFS($J$2:$J$77,$A$2:$A$77,"ראשון לציון")</f>
        <v>6.949128887441558E-2</v>
      </c>
      <c r="L46" s="15">
        <v>14875000</v>
      </c>
      <c r="M46" s="15">
        <v>66148000</v>
      </c>
      <c r="N46" s="15">
        <f t="shared" ref="N46:N65" si="15">M46+L46</f>
        <v>81023000</v>
      </c>
      <c r="O46">
        <v>48401</v>
      </c>
    </row>
    <row r="47" spans="1:22">
      <c r="A47" t="s">
        <v>17</v>
      </c>
      <c r="B47" t="s">
        <v>1039</v>
      </c>
      <c r="C47" s="17" t="s">
        <v>200</v>
      </c>
      <c r="D47" s="17" t="s">
        <v>949</v>
      </c>
      <c r="E47" s="10" t="s">
        <v>209</v>
      </c>
      <c r="F47" s="10" t="s">
        <v>207</v>
      </c>
      <c r="G47" s="31">
        <v>4000</v>
      </c>
      <c r="H47" s="13">
        <v>100000</v>
      </c>
      <c r="J47" s="15">
        <f t="shared" ref="J47:J56" si="16">H47/100+G47+I47/3</f>
        <v>5000</v>
      </c>
      <c r="K47" s="14">
        <f>J47/SUMIFS($J$2:$J$77,$A$2:$A$77,"ראשון לציון")</f>
        <v>0.2076846648966395</v>
      </c>
      <c r="L47" s="15">
        <v>44431000</v>
      </c>
      <c r="M47" s="15">
        <v>197575000</v>
      </c>
      <c r="N47" s="15">
        <f t="shared" si="15"/>
        <v>242006000</v>
      </c>
      <c r="O47">
        <v>48401</v>
      </c>
    </row>
    <row r="48" spans="1:22">
      <c r="A48" t="s">
        <v>17</v>
      </c>
      <c r="B48" t="s">
        <v>191</v>
      </c>
      <c r="C48" s="17" t="s">
        <v>201</v>
      </c>
      <c r="E48" s="10" t="s">
        <v>210</v>
      </c>
      <c r="F48" s="10" t="s">
        <v>207</v>
      </c>
      <c r="G48" s="31">
        <v>3500</v>
      </c>
      <c r="H48" s="13">
        <v>7500</v>
      </c>
      <c r="J48" s="15">
        <f t="shared" si="16"/>
        <v>3575</v>
      </c>
      <c r="K48" s="14">
        <f>J48/SUMIFS($J$2:$J$77,$A$2:$A$77,"ראשון לציון")</f>
        <v>0.14849453540109725</v>
      </c>
      <c r="L48" s="15">
        <v>31919000</v>
      </c>
      <c r="M48" s="15">
        <v>141938000</v>
      </c>
      <c r="N48" s="15">
        <f t="shared" si="15"/>
        <v>173857000</v>
      </c>
      <c r="O48">
        <v>48401</v>
      </c>
    </row>
    <row r="49" spans="1:22">
      <c r="A49" t="s">
        <v>17</v>
      </c>
      <c r="B49" t="s">
        <v>192</v>
      </c>
      <c r="E49" s="10" t="s">
        <v>58</v>
      </c>
      <c r="F49" s="10" t="s">
        <v>207</v>
      </c>
      <c r="G49" s="31"/>
      <c r="H49" s="13">
        <v>300000</v>
      </c>
      <c r="J49" s="15">
        <f t="shared" si="16"/>
        <v>3000</v>
      </c>
      <c r="K49" s="14">
        <f>J49/SUMIFS($J$2:$J$77,$A$2:$A$77,"ראשון לציון")</f>
        <v>0.1246107989379837</v>
      </c>
      <c r="L49" s="15">
        <v>26658000</v>
      </c>
      <c r="M49" s="15">
        <v>118545000</v>
      </c>
      <c r="N49" s="15">
        <f t="shared" si="15"/>
        <v>145203000</v>
      </c>
      <c r="O49">
        <v>48401</v>
      </c>
    </row>
    <row r="50" spans="1:22">
      <c r="A50" t="s">
        <v>17</v>
      </c>
      <c r="B50" t="s">
        <v>193</v>
      </c>
      <c r="C50" s="17" t="s">
        <v>202</v>
      </c>
      <c r="E50" s="10" t="s">
        <v>211</v>
      </c>
      <c r="F50" s="10" t="s">
        <v>207</v>
      </c>
      <c r="G50" s="31">
        <v>1500</v>
      </c>
      <c r="H50" s="13"/>
      <c r="J50" s="15">
        <f t="shared" si="16"/>
        <v>1500</v>
      </c>
      <c r="K50" s="14">
        <f>J50/SUMIFS($J$2:$J$77,$A$2:$A$77,"ראשון לציון")</f>
        <v>6.230539946899185E-2</v>
      </c>
      <c r="L50" s="15">
        <f>31101000/2</f>
        <v>15550500</v>
      </c>
      <c r="M50" s="15">
        <f>138302000/2</f>
        <v>69151000</v>
      </c>
      <c r="N50" s="15">
        <f t="shared" si="15"/>
        <v>84701500</v>
      </c>
      <c r="O50">
        <v>48401</v>
      </c>
    </row>
    <row r="51" spans="1:22">
      <c r="A51" t="s">
        <v>17</v>
      </c>
      <c r="B51" t="s">
        <v>194</v>
      </c>
      <c r="C51" s="17" t="s">
        <v>203</v>
      </c>
      <c r="E51" s="10" t="s">
        <v>212</v>
      </c>
      <c r="F51" s="10" t="s">
        <v>207</v>
      </c>
      <c r="G51" s="31">
        <v>2000</v>
      </c>
      <c r="H51" s="13"/>
      <c r="J51" s="15">
        <f t="shared" si="16"/>
        <v>2000</v>
      </c>
      <c r="K51" s="14">
        <f>J51/SUMIFS($J$2:$J$77,$A$2:$A$77,"ראשון לציון")</f>
        <v>8.3073865958655804E-2</v>
      </c>
      <c r="L51" s="15">
        <f>31101000/2</f>
        <v>15550500</v>
      </c>
      <c r="M51" s="15">
        <f>138302000/2</f>
        <v>69151000</v>
      </c>
      <c r="N51" s="15">
        <f t="shared" si="15"/>
        <v>84701500</v>
      </c>
      <c r="O51">
        <v>48401</v>
      </c>
    </row>
    <row r="52" spans="1:22">
      <c r="A52" t="s">
        <v>17</v>
      </c>
      <c r="B52" t="s">
        <v>195</v>
      </c>
      <c r="E52" s="10" t="s">
        <v>213</v>
      </c>
      <c r="F52" s="10" t="s">
        <v>207</v>
      </c>
      <c r="G52" s="31">
        <v>3517</v>
      </c>
      <c r="H52" s="13"/>
      <c r="J52" s="15">
        <f t="shared" si="16"/>
        <v>3517</v>
      </c>
      <c r="K52" s="14">
        <f>J52/SUMIFS($J$2:$J$77,$A$2:$A$77,"ראשון לציון")</f>
        <v>0.14608539328829623</v>
      </c>
      <c r="L52" s="15">
        <f>31101000</f>
        <v>31101000</v>
      </c>
      <c r="M52" s="15">
        <v>138302000</v>
      </c>
      <c r="N52" s="15">
        <f t="shared" si="15"/>
        <v>169403000</v>
      </c>
      <c r="O52">
        <v>48401</v>
      </c>
    </row>
    <row r="53" spans="1:22">
      <c r="A53" t="s">
        <v>17</v>
      </c>
      <c r="B53" t="s">
        <v>196</v>
      </c>
      <c r="C53" s="17" t="s">
        <v>204</v>
      </c>
      <c r="E53" s="10" t="s">
        <v>214</v>
      </c>
      <c r="F53" s="10" t="s">
        <v>207</v>
      </c>
      <c r="G53" s="31"/>
      <c r="H53" s="13">
        <v>263196</v>
      </c>
      <c r="J53" s="15">
        <f t="shared" si="16"/>
        <v>2631.96</v>
      </c>
      <c r="K53" s="14">
        <f>J53/SUMIFS($J$2:$J$77,$A$2:$A$77,"ראשון לציון")</f>
        <v>0.10932354612427186</v>
      </c>
      <c r="L53" s="15">
        <v>23388000</v>
      </c>
      <c r="M53" s="15">
        <v>103002000</v>
      </c>
      <c r="N53" s="15">
        <f t="shared" si="15"/>
        <v>126390000</v>
      </c>
      <c r="O53">
        <v>48401</v>
      </c>
    </row>
    <row r="54" spans="1:22">
      <c r="A54" t="s">
        <v>17</v>
      </c>
      <c r="B54" t="s">
        <v>197</v>
      </c>
      <c r="C54" s="17" t="s">
        <v>205</v>
      </c>
      <c r="D54" s="17" t="s">
        <v>1040</v>
      </c>
      <c r="E54" s="10" t="s">
        <v>116</v>
      </c>
      <c r="F54" s="10" t="s">
        <v>207</v>
      </c>
      <c r="G54" s="31">
        <v>136</v>
      </c>
      <c r="H54" s="13"/>
      <c r="J54" s="15">
        <f t="shared" si="16"/>
        <v>136</v>
      </c>
      <c r="K54" s="14">
        <f>J54/SUMIFS($J$2:$J$77,$A$2:$A$77,"ראשון לציון")</f>
        <v>5.6490228851885944E-3</v>
      </c>
      <c r="L54" s="15">
        <f t="shared" si="9"/>
        <v>1020000</v>
      </c>
      <c r="M54" s="15"/>
      <c r="N54" s="15">
        <f t="shared" si="15"/>
        <v>1020000</v>
      </c>
      <c r="O54">
        <v>48401</v>
      </c>
    </row>
    <row r="55" spans="1:22">
      <c r="A55" t="s">
        <v>17</v>
      </c>
      <c r="B55" t="s">
        <v>217</v>
      </c>
      <c r="C55" s="17" t="s">
        <v>206</v>
      </c>
      <c r="E55" s="10" t="s">
        <v>215</v>
      </c>
      <c r="F55" s="10" t="s">
        <v>207</v>
      </c>
      <c r="G55" s="31">
        <v>906</v>
      </c>
      <c r="H55" s="13"/>
      <c r="J55" s="15">
        <f t="shared" si="16"/>
        <v>906</v>
      </c>
      <c r="K55" s="14">
        <f>J55/SUMIFS($J$2:$J$77,$A$2:$A$77,"ראשון לציון")</f>
        <v>3.7632461279271077E-2</v>
      </c>
      <c r="L55" s="15">
        <v>8051000</v>
      </c>
      <c r="M55" s="15">
        <v>35801000</v>
      </c>
      <c r="N55" s="15">
        <f t="shared" si="15"/>
        <v>43852000</v>
      </c>
      <c r="O55">
        <v>48401</v>
      </c>
    </row>
    <row r="56" spans="1:22" ht="15.75" thickBot="1">
      <c r="A56" s="115" t="s">
        <v>17</v>
      </c>
      <c r="B56" s="115" t="s">
        <v>198</v>
      </c>
      <c r="C56" s="40"/>
      <c r="D56" s="40"/>
      <c r="E56" s="35" t="s">
        <v>216</v>
      </c>
      <c r="F56" s="35" t="s">
        <v>207</v>
      </c>
      <c r="G56" s="36">
        <v>136</v>
      </c>
      <c r="H56" s="118"/>
      <c r="I56" s="115"/>
      <c r="J56" s="38">
        <f t="shared" si="16"/>
        <v>136</v>
      </c>
      <c r="K56" s="117">
        <f>J56/SUMIFS($J$2:$J$77,$A$2:$A$77,"ראשון לציון")</f>
        <v>5.6490228851885944E-3</v>
      </c>
      <c r="L56" s="38">
        <v>1209000</v>
      </c>
      <c r="M56" s="38">
        <v>5374000</v>
      </c>
      <c r="N56" s="38">
        <f t="shared" si="15"/>
        <v>6583000</v>
      </c>
      <c r="O56" s="115">
        <v>48401</v>
      </c>
      <c r="P56" s="115"/>
      <c r="Q56" s="115"/>
      <c r="R56" s="115"/>
      <c r="S56" s="115"/>
      <c r="T56" s="115"/>
      <c r="U56" s="115"/>
      <c r="V56" s="115"/>
    </row>
    <row r="57" spans="1:22">
      <c r="A57" t="s">
        <v>18</v>
      </c>
      <c r="B57" t="s">
        <v>758</v>
      </c>
      <c r="C57" s="17" t="s">
        <v>844</v>
      </c>
      <c r="D57" s="17" t="s">
        <v>1042</v>
      </c>
      <c r="E57" s="10" t="s">
        <v>849</v>
      </c>
      <c r="F57" s="10" t="s">
        <v>851</v>
      </c>
      <c r="G57" s="31">
        <v>3898</v>
      </c>
      <c r="H57">
        <v>116668</v>
      </c>
      <c r="J57" s="16">
        <f>H57/120+G57+I57/3</f>
        <v>4870.2333333333336</v>
      </c>
      <c r="K57" s="14">
        <f>J57/SUMIFS($J$2:$J$77,$A$2:$A$77,"רמלה")</f>
        <v>0.54927030623829898</v>
      </c>
      <c r="M57" s="15">
        <v>306371145</v>
      </c>
      <c r="N57" s="15">
        <f t="shared" si="15"/>
        <v>306371145</v>
      </c>
      <c r="O57">
        <v>62970</v>
      </c>
    </row>
    <row r="58" spans="1:22">
      <c r="A58" t="s">
        <v>18</v>
      </c>
      <c r="B58" t="s">
        <v>759</v>
      </c>
      <c r="C58" s="17" t="s">
        <v>845</v>
      </c>
      <c r="E58" s="10" t="s">
        <v>61</v>
      </c>
      <c r="F58" s="10" t="s">
        <v>851</v>
      </c>
      <c r="G58" s="31">
        <v>888</v>
      </c>
      <c r="H58">
        <v>47880</v>
      </c>
      <c r="J58" s="16">
        <f t="shared" ref="J58:J77" si="17">H58/120+G58+I58/3</f>
        <v>1287</v>
      </c>
      <c r="K58" s="14">
        <f>J58/SUMIFS($J$2:$J$77,$A$2:$A$77,"רמלה")</f>
        <v>0.14514928459184517</v>
      </c>
      <c r="M58" s="15">
        <v>80961144</v>
      </c>
      <c r="N58" s="15">
        <f t="shared" si="15"/>
        <v>80961144</v>
      </c>
      <c r="O58">
        <v>62970</v>
      </c>
    </row>
    <row r="59" spans="1:22">
      <c r="A59" t="s">
        <v>18</v>
      </c>
      <c r="B59" t="s">
        <v>840</v>
      </c>
      <c r="C59" s="17" t="s">
        <v>846</v>
      </c>
      <c r="E59" s="10" t="s">
        <v>61</v>
      </c>
      <c r="F59" s="10" t="s">
        <v>851</v>
      </c>
      <c r="G59" s="31">
        <v>200</v>
      </c>
      <c r="H59">
        <v>1500</v>
      </c>
      <c r="J59" s="16">
        <f t="shared" si="17"/>
        <v>212.5</v>
      </c>
      <c r="K59" s="14">
        <f>J59/SUMIFS($J$2:$J$77,$A$2:$A$77,"רמלה")</f>
        <v>2.3965985218156252E-2</v>
      </c>
      <c r="M59" s="15">
        <v>13367710</v>
      </c>
      <c r="N59" s="15">
        <f t="shared" si="15"/>
        <v>13367710</v>
      </c>
      <c r="O59">
        <v>62970</v>
      </c>
    </row>
    <row r="60" spans="1:22">
      <c r="A60" t="s">
        <v>18</v>
      </c>
      <c r="B60" t="s">
        <v>761</v>
      </c>
      <c r="C60" s="17" t="s">
        <v>847</v>
      </c>
      <c r="E60" s="10" t="s">
        <v>61</v>
      </c>
      <c r="F60" s="10" t="s">
        <v>851</v>
      </c>
      <c r="G60" s="31">
        <v>265</v>
      </c>
      <c r="J60" s="16">
        <f t="shared" si="17"/>
        <v>265</v>
      </c>
      <c r="K60" s="14">
        <f>J60/SUMIFS($J$2:$J$77,$A$2:$A$77,"רמלה")</f>
        <v>2.9886993330877212E-2</v>
      </c>
      <c r="M60" s="15">
        <v>16670321</v>
      </c>
      <c r="N60" s="15">
        <f t="shared" si="15"/>
        <v>16670321</v>
      </c>
      <c r="O60">
        <v>62970</v>
      </c>
    </row>
    <row r="61" spans="1:22">
      <c r="A61" t="s">
        <v>18</v>
      </c>
      <c r="B61" t="s">
        <v>841</v>
      </c>
      <c r="C61" s="17" t="s">
        <v>848</v>
      </c>
      <c r="E61" s="10" t="s">
        <v>61</v>
      </c>
      <c r="F61" s="10" t="s">
        <v>851</v>
      </c>
      <c r="G61" s="31">
        <v>82</v>
      </c>
      <c r="J61" s="16">
        <f t="shared" si="17"/>
        <v>82</v>
      </c>
      <c r="K61" s="14">
        <f>J61/SUMIFS($J$2:$J$77,$A$2:$A$77,"רמלה")</f>
        <v>9.2480507665355892E-3</v>
      </c>
      <c r="M61" s="15">
        <v>5158364</v>
      </c>
      <c r="N61" s="15">
        <f t="shared" si="15"/>
        <v>5158364</v>
      </c>
      <c r="O61">
        <v>62970</v>
      </c>
    </row>
    <row r="62" spans="1:22">
      <c r="A62" t="s">
        <v>18</v>
      </c>
      <c r="B62" t="s">
        <v>763</v>
      </c>
      <c r="C62" s="17" t="s">
        <v>772</v>
      </c>
      <c r="E62" s="10" t="s">
        <v>61</v>
      </c>
      <c r="F62" s="10" t="s">
        <v>851</v>
      </c>
      <c r="G62" s="31">
        <v>250</v>
      </c>
      <c r="J62" s="16">
        <f t="shared" si="17"/>
        <v>250</v>
      </c>
      <c r="K62" s="14">
        <f>J62/SUMIFS($J$2:$J$77,$A$2:$A$77,"רמלה")</f>
        <v>2.8195276727242653E-2</v>
      </c>
      <c r="M62" s="15">
        <v>15726718</v>
      </c>
      <c r="N62" s="15">
        <f t="shared" si="15"/>
        <v>15726718</v>
      </c>
      <c r="O62">
        <v>62970</v>
      </c>
    </row>
    <row r="63" spans="1:22">
      <c r="A63" t="s">
        <v>18</v>
      </c>
      <c r="B63" t="s">
        <v>764</v>
      </c>
      <c r="E63" s="10" t="s">
        <v>58</v>
      </c>
      <c r="F63" s="10" t="s">
        <v>851</v>
      </c>
      <c r="G63" s="31">
        <v>1300</v>
      </c>
      <c r="J63" s="16">
        <f t="shared" si="17"/>
        <v>1300</v>
      </c>
      <c r="K63" s="14">
        <f>J63/SUMIFS($J$2:$J$77,$A$2:$A$77,"רמלה")</f>
        <v>0.14661543898166179</v>
      </c>
      <c r="M63" s="15">
        <v>81778934</v>
      </c>
      <c r="N63" s="15">
        <f t="shared" si="15"/>
        <v>81778934</v>
      </c>
      <c r="O63">
        <v>62970</v>
      </c>
    </row>
    <row r="64" spans="1:22">
      <c r="A64" t="s">
        <v>18</v>
      </c>
      <c r="B64" t="s">
        <v>842</v>
      </c>
      <c r="E64" s="10" t="s">
        <v>850</v>
      </c>
      <c r="F64" s="10" t="s">
        <v>851</v>
      </c>
      <c r="G64" s="31">
        <v>100</v>
      </c>
      <c r="J64" s="16">
        <f t="shared" si="17"/>
        <v>100</v>
      </c>
      <c r="K64" s="14">
        <f>J64/SUMIFS($J$2:$J$77,$A$2:$A$77,"רמלה")</f>
        <v>1.1278110690897061E-2</v>
      </c>
      <c r="M64" s="15">
        <v>6290687</v>
      </c>
      <c r="N64" s="15">
        <f t="shared" si="15"/>
        <v>6290687</v>
      </c>
      <c r="O64">
        <v>62970</v>
      </c>
    </row>
    <row r="65" spans="1:22" ht="15.75" thickBot="1">
      <c r="A65" s="115" t="s">
        <v>18</v>
      </c>
      <c r="B65" s="115" t="s">
        <v>843</v>
      </c>
      <c r="C65" s="40"/>
      <c r="D65" s="40"/>
      <c r="E65" s="35" t="s">
        <v>850</v>
      </c>
      <c r="F65" s="35" t="s">
        <v>851</v>
      </c>
      <c r="G65" s="36">
        <v>500</v>
      </c>
      <c r="H65" s="115"/>
      <c r="I65" s="115"/>
      <c r="J65" s="116">
        <f t="shared" si="17"/>
        <v>500</v>
      </c>
      <c r="K65" s="117">
        <f>J65/SUMIFS($J$2:$J$77,$A$2:$A$77,"רמלה")</f>
        <v>5.6390553454485307E-2</v>
      </c>
      <c r="L65" s="115"/>
      <c r="M65" s="38">
        <v>31453436</v>
      </c>
      <c r="N65" s="38">
        <f t="shared" si="15"/>
        <v>31453436</v>
      </c>
      <c r="O65" s="115">
        <v>62970</v>
      </c>
      <c r="P65" s="115"/>
      <c r="Q65" s="115"/>
      <c r="R65" s="115"/>
      <c r="S65" s="115"/>
      <c r="T65" s="115"/>
      <c r="U65" s="115"/>
      <c r="V65" s="115"/>
    </row>
    <row r="66" spans="1:22">
      <c r="A66" t="s">
        <v>19</v>
      </c>
      <c r="B66" t="s">
        <v>726</v>
      </c>
      <c r="E66" s="10" t="s">
        <v>116</v>
      </c>
      <c r="G66" s="31">
        <v>1100</v>
      </c>
      <c r="H66" s="13">
        <v>4107</v>
      </c>
      <c r="I66">
        <v>1100</v>
      </c>
      <c r="J66" s="16">
        <f t="shared" si="17"/>
        <v>1500.8916666666667</v>
      </c>
      <c r="K66" s="14">
        <f>J66/SUMIFS($J$2:$J$79,$A$2:$A$79,"נתניה")</f>
        <v>5.4623116659948977E-2</v>
      </c>
    </row>
    <row r="67" spans="1:22" ht="75">
      <c r="A67" t="s">
        <v>19</v>
      </c>
      <c r="B67" t="s">
        <v>727</v>
      </c>
      <c r="C67" s="17" t="s">
        <v>916</v>
      </c>
      <c r="D67" s="17" t="s">
        <v>1037</v>
      </c>
      <c r="E67" s="10" t="s">
        <v>860</v>
      </c>
      <c r="G67" s="31">
        <v>698</v>
      </c>
      <c r="H67" s="13">
        <v>137000</v>
      </c>
      <c r="J67" s="16">
        <f t="shared" si="17"/>
        <v>1839.6666666666667</v>
      </c>
      <c r="K67" s="14">
        <f>J67/SUMIFS($J$2:$J$79,$A$2:$A$79,"נתניה")</f>
        <v>6.695241847263203E-2</v>
      </c>
    </row>
    <row r="68" spans="1:22">
      <c r="A68" t="s">
        <v>19</v>
      </c>
      <c r="B68" t="s">
        <v>728</v>
      </c>
      <c r="E68" s="10" t="s">
        <v>861</v>
      </c>
      <c r="G68" s="31">
        <v>200</v>
      </c>
      <c r="H68" s="13">
        <v>11000</v>
      </c>
      <c r="J68" s="16">
        <f t="shared" si="17"/>
        <v>291.66666666666669</v>
      </c>
      <c r="K68" s="14">
        <f>J68/SUMIFS($J$2:$J$79,$A$2:$A$79,"נתניה")</f>
        <v>1.0614851633185908E-2</v>
      </c>
    </row>
    <row r="69" spans="1:22">
      <c r="A69" t="s">
        <v>19</v>
      </c>
      <c r="B69" t="s">
        <v>729</v>
      </c>
      <c r="E69" s="10" t="s">
        <v>862</v>
      </c>
      <c r="G69" s="31">
        <v>715</v>
      </c>
      <c r="H69" s="13">
        <v>12000</v>
      </c>
      <c r="J69" s="16">
        <f t="shared" si="17"/>
        <v>815</v>
      </c>
      <c r="K69" s="14">
        <f>J69/SUMIFS($J$2:$J$79,$A$2:$A$79,"נתניה")</f>
        <v>2.9660928277873765E-2</v>
      </c>
    </row>
    <row r="70" spans="1:22">
      <c r="A70" t="s">
        <v>19</v>
      </c>
      <c r="B70" t="s">
        <v>730</v>
      </c>
      <c r="E70" s="10" t="s">
        <v>862</v>
      </c>
      <c r="G70" s="31">
        <v>3070</v>
      </c>
      <c r="H70" s="13">
        <v>40000</v>
      </c>
      <c r="J70" s="16">
        <f t="shared" si="17"/>
        <v>3403.3333333333335</v>
      </c>
      <c r="K70" s="14">
        <f>J70/SUMIFS($J$2:$J$79,$A$2:$A$79,"נתניה")</f>
        <v>0.12386015448551785</v>
      </c>
    </row>
    <row r="71" spans="1:22">
      <c r="A71" t="s">
        <v>19</v>
      </c>
      <c r="B71" t="s">
        <v>731</v>
      </c>
      <c r="E71" s="10" t="s">
        <v>863</v>
      </c>
      <c r="G71" s="31">
        <v>1300</v>
      </c>
      <c r="H71" s="13">
        <v>500000</v>
      </c>
      <c r="J71" s="16">
        <f t="shared" si="17"/>
        <v>5466.666666666667</v>
      </c>
      <c r="K71" s="14">
        <f>J71/SUMIFS($J$2:$J$79,$A$2:$A$79,"נתניה")</f>
        <v>0.1989526477534273</v>
      </c>
    </row>
    <row r="72" spans="1:22">
      <c r="A72" t="s">
        <v>19</v>
      </c>
      <c r="B72" t="s">
        <v>732</v>
      </c>
      <c r="E72" s="10" t="s">
        <v>861</v>
      </c>
      <c r="G72" s="31">
        <v>140</v>
      </c>
      <c r="H72" s="13"/>
      <c r="J72" s="16">
        <f t="shared" si="17"/>
        <v>140</v>
      </c>
      <c r="K72" s="14">
        <f>J72/SUMIFS($J$2:$J$79,$A$2:$A$79,"נתניה")</f>
        <v>5.0951287839292357E-3</v>
      </c>
    </row>
    <row r="73" spans="1:22">
      <c r="A73" t="s">
        <v>19</v>
      </c>
      <c r="B73" t="s">
        <v>855</v>
      </c>
      <c r="E73" s="10" t="s">
        <v>864</v>
      </c>
      <c r="G73" s="31">
        <v>900</v>
      </c>
      <c r="H73" s="13">
        <v>500000</v>
      </c>
      <c r="J73" s="16">
        <f t="shared" si="17"/>
        <v>5066.666666666667</v>
      </c>
      <c r="K73" s="14">
        <f>J73/SUMIFS($J$2:$J$79,$A$2:$A$79,"נתניה")</f>
        <v>0.18439513694220092</v>
      </c>
    </row>
    <row r="74" spans="1:22">
      <c r="A74" t="s">
        <v>19</v>
      </c>
      <c r="B74" t="s">
        <v>734</v>
      </c>
      <c r="E74" s="10" t="s">
        <v>865</v>
      </c>
      <c r="G74" s="31">
        <v>4000</v>
      </c>
      <c r="H74" s="13"/>
      <c r="J74" s="16">
        <f t="shared" si="17"/>
        <v>4000</v>
      </c>
      <c r="K74" s="14">
        <f>J74/SUMIFS($J$2:$J$79,$A$2:$A$79,"נתניה")</f>
        <v>0.14557510811226387</v>
      </c>
    </row>
    <row r="75" spans="1:22">
      <c r="A75" t="s">
        <v>19</v>
      </c>
      <c r="B75" t="s">
        <v>735</v>
      </c>
      <c r="E75" s="10" t="s">
        <v>866</v>
      </c>
      <c r="G75" s="31">
        <v>100</v>
      </c>
      <c r="H75" s="13"/>
      <c r="J75" s="16">
        <f t="shared" si="17"/>
        <v>100</v>
      </c>
      <c r="K75" s="14">
        <f>J75/SUMIFS($J$2:$J$79,$A$2:$A$79,"נתניה")</f>
        <v>3.6393777028065968E-3</v>
      </c>
    </row>
    <row r="76" spans="1:22">
      <c r="A76" t="s">
        <v>19</v>
      </c>
      <c r="B76" t="s">
        <v>856</v>
      </c>
      <c r="E76" s="10" t="s">
        <v>116</v>
      </c>
      <c r="G76" s="31">
        <v>33</v>
      </c>
      <c r="H76" s="13">
        <v>58000</v>
      </c>
      <c r="J76" s="16">
        <f t="shared" si="17"/>
        <v>516.33333333333326</v>
      </c>
      <c r="K76" s="14">
        <f>J76/SUMIFS($J$2:$J$79,$A$2:$A$79,"נתניה")</f>
        <v>1.8791320205491392E-2</v>
      </c>
    </row>
    <row r="77" spans="1:22">
      <c r="A77" t="s">
        <v>19</v>
      </c>
      <c r="B77" t="s">
        <v>857</v>
      </c>
      <c r="E77" s="10" t="s">
        <v>116</v>
      </c>
      <c r="G77" s="31">
        <v>32</v>
      </c>
      <c r="H77" s="13">
        <v>9600</v>
      </c>
      <c r="J77" s="16">
        <f t="shared" si="17"/>
        <v>112</v>
      </c>
      <c r="K77" s="14">
        <f>J77/SUMIFS($J$2:$J$79,$A$2:$A$79,"נתניה")</f>
        <v>4.0761030271433884E-3</v>
      </c>
    </row>
    <row r="78" spans="1:22">
      <c r="A78" t="s">
        <v>19</v>
      </c>
      <c r="B78" t="s">
        <v>858</v>
      </c>
      <c r="H78" s="13">
        <v>400000</v>
      </c>
      <c r="J78" s="16">
        <f t="shared" ref="J78:J88" si="18">H78/120+G78+I78/3</f>
        <v>3333.3333333333335</v>
      </c>
      <c r="K78" s="14">
        <f>J78/SUMIFS($J$2:$J$79,$A$2:$A$79,"נתניה")</f>
        <v>0.12131259009355323</v>
      </c>
    </row>
    <row r="79" spans="1:22" ht="15.75" thickBot="1">
      <c r="A79" s="115" t="s">
        <v>19</v>
      </c>
      <c r="B79" s="115" t="s">
        <v>859</v>
      </c>
      <c r="C79" s="40"/>
      <c r="D79" s="40"/>
      <c r="E79" s="35"/>
      <c r="F79" s="35"/>
      <c r="G79" s="115"/>
      <c r="H79" s="118">
        <v>107000</v>
      </c>
      <c r="I79" s="115"/>
      <c r="J79" s="116">
        <f t="shared" si="18"/>
        <v>891.66666666666663</v>
      </c>
      <c r="K79" s="117">
        <f>J79/SUMIFS($J$2:$J$79,$A$2:$A$79,"נתניה")</f>
        <v>3.2451117850025489E-2</v>
      </c>
      <c r="L79" s="115"/>
      <c r="M79" s="115"/>
      <c r="N79" s="115"/>
      <c r="O79" s="115"/>
      <c r="P79" s="115"/>
      <c r="Q79" s="115"/>
      <c r="R79" s="115"/>
      <c r="S79" s="115"/>
      <c r="T79" s="115"/>
      <c r="U79" s="115"/>
      <c r="V79" s="115"/>
    </row>
    <row r="80" spans="1:22" ht="30">
      <c r="A80" s="123" t="s">
        <v>146</v>
      </c>
      <c r="B80" s="123" t="s">
        <v>872</v>
      </c>
      <c r="C80" s="17" t="s">
        <v>878</v>
      </c>
      <c r="D80" s="17" t="s">
        <v>1035</v>
      </c>
      <c r="E80" s="10" t="s">
        <v>61</v>
      </c>
      <c r="F80" s="10" t="s">
        <v>881</v>
      </c>
      <c r="G80" s="31">
        <v>1845</v>
      </c>
      <c r="H80" s="13">
        <f>425*120</f>
        <v>51000</v>
      </c>
      <c r="J80">
        <f t="shared" si="18"/>
        <v>2270</v>
      </c>
      <c r="K80" s="125">
        <f>J80/SUMIFS($J$2:$J$84,$A$2:$A$84,"טירת הכרמל")</f>
        <v>0.182475884244373</v>
      </c>
    </row>
    <row r="81" spans="1:22">
      <c r="A81" s="123" t="s">
        <v>146</v>
      </c>
      <c r="B81" s="123" t="s">
        <v>873</v>
      </c>
      <c r="C81" s="17" t="s">
        <v>879</v>
      </c>
      <c r="E81" s="10" t="s">
        <v>61</v>
      </c>
      <c r="F81" s="10" t="s">
        <v>881</v>
      </c>
      <c r="G81" s="31">
        <v>552</v>
      </c>
      <c r="I81">
        <v>120</v>
      </c>
      <c r="J81" s="15">
        <f>H81/120+G81+I81/2</f>
        <v>612</v>
      </c>
      <c r="K81" s="125">
        <f>J81/SUMIFS($J$2:$J$84,$A$2:$A$84,"טירת הכרמל")</f>
        <v>4.9196141479099675E-2</v>
      </c>
    </row>
    <row r="82" spans="1:22">
      <c r="A82" s="123" t="s">
        <v>146</v>
      </c>
      <c r="B82" s="123" t="s">
        <v>874</v>
      </c>
      <c r="C82" s="17" t="s">
        <v>880</v>
      </c>
      <c r="D82" s="17" t="s">
        <v>692</v>
      </c>
      <c r="E82" s="10" t="s">
        <v>61</v>
      </c>
      <c r="F82" s="10" t="s">
        <v>881</v>
      </c>
      <c r="G82" s="31">
        <v>2153</v>
      </c>
      <c r="H82" s="13">
        <f>1255*120</f>
        <v>150600</v>
      </c>
      <c r="J82">
        <f t="shared" si="18"/>
        <v>3408</v>
      </c>
      <c r="K82" s="125">
        <f>J82/SUMIFS($J$2:$J$84,$A$2:$A$84,"טירת הכרמל")</f>
        <v>0.27395498392282958</v>
      </c>
      <c r="N82" s="15">
        <v>355659862</v>
      </c>
    </row>
    <row r="83" spans="1:22">
      <c r="A83" s="123" t="s">
        <v>146</v>
      </c>
      <c r="B83" s="123" t="s">
        <v>875</v>
      </c>
      <c r="C83" s="17" t="s">
        <v>871</v>
      </c>
      <c r="E83" s="10" t="s">
        <v>877</v>
      </c>
      <c r="F83" s="10" t="s">
        <v>881</v>
      </c>
      <c r="G83" s="31">
        <v>754</v>
      </c>
      <c r="H83" s="13">
        <f>13*120</f>
        <v>1560</v>
      </c>
      <c r="J83">
        <f t="shared" si="18"/>
        <v>767</v>
      </c>
      <c r="K83" s="125">
        <f>J83/SUMIFS($J$2:$J$84,$A$2:$A$84,"טירת הכרמל")</f>
        <v>6.165594855305466E-2</v>
      </c>
    </row>
    <row r="84" spans="1:22" ht="15.75" thickBot="1">
      <c r="A84" s="124" t="s">
        <v>146</v>
      </c>
      <c r="B84" s="124" t="s">
        <v>876</v>
      </c>
      <c r="C84" s="40" t="s">
        <v>871</v>
      </c>
      <c r="D84" s="40"/>
      <c r="E84" s="35" t="s">
        <v>877</v>
      </c>
      <c r="F84" s="10" t="s">
        <v>881</v>
      </c>
      <c r="G84" s="118">
        <v>5000</v>
      </c>
      <c r="H84" s="118">
        <f>208*120</f>
        <v>24960</v>
      </c>
      <c r="I84" s="115">
        <v>350</v>
      </c>
      <c r="J84" s="37">
        <f>H84/120+G84+I84/2</f>
        <v>5383</v>
      </c>
      <c r="K84" s="39">
        <f>J84/SUMIFS($J$2:$J$84,$A$2:$A$84,"טירת הכרמל")</f>
        <v>0.43271704180064308</v>
      </c>
      <c r="L84" s="115"/>
      <c r="M84" s="115"/>
      <c r="N84" s="115"/>
      <c r="O84" s="115"/>
      <c r="P84" s="115"/>
      <c r="Q84" s="115"/>
      <c r="R84" s="115"/>
      <c r="S84" s="115"/>
      <c r="T84" s="115"/>
      <c r="U84" s="115"/>
      <c r="V84" s="115"/>
    </row>
    <row r="85" spans="1:22">
      <c r="A85" s="123" t="s">
        <v>147</v>
      </c>
      <c r="B85" s="123" t="s">
        <v>899</v>
      </c>
      <c r="C85" s="17" t="s">
        <v>903</v>
      </c>
      <c r="D85" s="17" t="s">
        <v>1036</v>
      </c>
      <c r="E85" s="10" t="s">
        <v>116</v>
      </c>
      <c r="F85" s="10" t="s">
        <v>910</v>
      </c>
      <c r="G85" s="15">
        <v>2307</v>
      </c>
      <c r="H85">
        <v>48650</v>
      </c>
      <c r="I85" s="15"/>
      <c r="J85" s="12">
        <f>H85/120*0.76+H85/300*0.24+G85+I85/2</f>
        <v>2654.0366666666669</v>
      </c>
      <c r="K85" s="125">
        <f>J85/SUMIFS($J$2:$J$170,$A$2:$A$170,"יבנה")</f>
        <v>0.17147483767509866</v>
      </c>
      <c r="N85" s="15">
        <v>261087983</v>
      </c>
    </row>
    <row r="86" spans="1:22">
      <c r="A86" s="123" t="s">
        <v>147</v>
      </c>
      <c r="B86" s="123" t="s">
        <v>900</v>
      </c>
      <c r="C86" s="17" t="s">
        <v>904</v>
      </c>
      <c r="E86" s="10" t="s">
        <v>907</v>
      </c>
      <c r="F86" s="10" t="s">
        <v>910</v>
      </c>
      <c r="G86" s="123">
        <v>10000</v>
      </c>
      <c r="H86">
        <v>225000</v>
      </c>
      <c r="J86" s="12">
        <f t="shared" si="18"/>
        <v>11875</v>
      </c>
      <c r="K86" s="125">
        <f>J86/SUMIFS($J$2:$J$170,$A$2:$A$170,"יבנה")</f>
        <v>0.76723269236111902</v>
      </c>
      <c r="N86" s="15">
        <v>1167581699</v>
      </c>
    </row>
    <row r="87" spans="1:22">
      <c r="A87" s="123" t="s">
        <v>147</v>
      </c>
      <c r="B87" s="123" t="s">
        <v>901</v>
      </c>
      <c r="C87" s="17" t="s">
        <v>905</v>
      </c>
      <c r="E87" s="10" t="s">
        <v>908</v>
      </c>
      <c r="F87" s="10" t="s">
        <v>910</v>
      </c>
      <c r="G87" s="123">
        <v>188</v>
      </c>
      <c r="H87">
        <v>57800</v>
      </c>
      <c r="I87">
        <v>150</v>
      </c>
      <c r="J87" s="12">
        <f>H87/120+G87+I87/2</f>
        <v>744.66666666666674</v>
      </c>
      <c r="K87" s="125">
        <f>J87/SUMIFS($J$2:$J$170,$A$2:$A$170,"יבנה")</f>
        <v>4.8112219922378671E-2</v>
      </c>
      <c r="N87" s="15">
        <v>73217614</v>
      </c>
    </row>
    <row r="88" spans="1:22" ht="15.75" thickBot="1">
      <c r="A88" s="124" t="s">
        <v>147</v>
      </c>
      <c r="B88" s="124" t="s">
        <v>902</v>
      </c>
      <c r="C88" s="40" t="s">
        <v>906</v>
      </c>
      <c r="D88" s="40"/>
      <c r="E88" s="35" t="s">
        <v>909</v>
      </c>
      <c r="F88" s="35" t="s">
        <v>910</v>
      </c>
      <c r="G88" s="124">
        <v>204</v>
      </c>
      <c r="H88" s="115">
        <v>0</v>
      </c>
      <c r="I88" s="115"/>
      <c r="J88" s="37">
        <f t="shared" si="18"/>
        <v>204</v>
      </c>
      <c r="K88" s="39">
        <f>J88/SUMIFS($J$2:$J$170,$A$2:$A$170,"יבנה")</f>
        <v>1.3180250041403645E-2</v>
      </c>
      <c r="L88" s="115"/>
      <c r="M88" s="115"/>
      <c r="N88" s="38">
        <v>20057825</v>
      </c>
      <c r="O88" s="115"/>
      <c r="P88" s="115"/>
      <c r="Q88" s="115"/>
      <c r="R88" s="115"/>
      <c r="S88" s="115"/>
      <c r="T88" s="115"/>
      <c r="U88" s="115"/>
      <c r="V88" s="115"/>
    </row>
  </sheetData>
  <autoFilter ref="A1:V1"/>
  <hyperlinks>
    <hyperlink ref="E4" r:id="rId1" display="http://www.land.gov.il/PirsumMichrazim/Aspx/pirsumDetails.aspx?id=3112016%E9%ED&amp;rc=1&amp;tr=1"/>
    <hyperlink ref="E17" r:id="rId2" display="http://www.land.gov.il/PirsumMichrazim/Aspx/pirsumDetails.aspx?id=%20252017%E1%F9&amp;rc=1&amp;tr=196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R88"/>
  <sheetViews>
    <sheetView rightToLeft="1" tabSelected="1" zoomScaleNormal="100" workbookViewId="0">
      <pane xSplit="2" ySplit="1" topLeftCell="AT2" activePane="bottomRight" state="frozen"/>
      <selection pane="topRight" activeCell="C1" sqref="C1"/>
      <selection pane="bottomLeft" activeCell="A2" sqref="A2"/>
      <selection pane="bottomRight" activeCell="A3" sqref="A3"/>
    </sheetView>
  </sheetViews>
  <sheetFormatPr defaultRowHeight="15"/>
  <cols>
    <col min="1" max="1" width="19" customWidth="1"/>
    <col min="2" max="7" width="14.28515625" hidden="1" customWidth="1"/>
    <col min="8" max="8" width="28.7109375" hidden="1" customWidth="1"/>
    <col min="9" max="9" width="30.85546875" hidden="1" customWidth="1"/>
    <col min="10" max="10" width="20.5703125" hidden="1" customWidth="1"/>
    <col min="11" max="11" width="20.85546875" hidden="1" customWidth="1"/>
    <col min="12" max="12" width="40.42578125" hidden="1" customWidth="1"/>
    <col min="13" max="13" width="14" hidden="1" customWidth="1"/>
    <col min="14" max="14" width="24.5703125" hidden="1" customWidth="1"/>
    <col min="15" max="15" width="19.140625" hidden="1" customWidth="1"/>
    <col min="16" max="16" width="23.85546875" hidden="1" customWidth="1"/>
    <col min="17" max="17" width="23" hidden="1" customWidth="1"/>
    <col min="18" max="18" width="37.42578125" hidden="1" customWidth="1"/>
    <col min="19" max="19" width="30.5703125" hidden="1" customWidth="1"/>
    <col min="20" max="20" width="26.5703125" hidden="1" customWidth="1"/>
    <col min="21" max="21" width="22.85546875" hidden="1" customWidth="1"/>
    <col min="22" max="22" width="13.7109375" hidden="1" customWidth="1"/>
    <col min="23" max="23" width="18.28515625" hidden="1" customWidth="1"/>
    <col min="24" max="24" width="20" hidden="1" customWidth="1"/>
    <col min="25" max="25" width="13.5703125" hidden="1" customWidth="1"/>
    <col min="26" max="26" width="22.7109375" hidden="1" customWidth="1"/>
    <col min="27" max="27" width="24.5703125" hidden="1" customWidth="1"/>
    <col min="28" max="28" width="13.42578125" hidden="1" customWidth="1"/>
    <col min="29" max="29" width="20.42578125" hidden="1" customWidth="1"/>
    <col min="30" max="30" width="21" hidden="1" customWidth="1"/>
    <col min="31" max="31" width="24" hidden="1" customWidth="1"/>
    <col min="32" max="32" width="17" hidden="1" customWidth="1"/>
    <col min="33" max="33" width="25.5703125" hidden="1" customWidth="1"/>
    <col min="34" max="34" width="15.85546875" hidden="1" customWidth="1"/>
    <col min="35" max="35" width="16.28515625" hidden="1" customWidth="1"/>
    <col min="36" max="36" width="26.140625" hidden="1" customWidth="1"/>
    <col min="37" max="37" width="25.5703125" hidden="1" customWidth="1"/>
    <col min="38" max="38" width="27" hidden="1" customWidth="1"/>
    <col min="39" max="39" width="21.5703125" hidden="1" customWidth="1"/>
    <col min="40" max="40" width="28.5703125" hidden="1" customWidth="1"/>
    <col min="41" max="41" width="21.140625" hidden="1" customWidth="1"/>
    <col min="42" max="42" width="33.85546875" hidden="1" customWidth="1"/>
    <col min="43" max="43" width="36.42578125" hidden="1" customWidth="1"/>
    <col min="44" max="45" width="47.28515625" hidden="1" customWidth="1"/>
    <col min="46" max="46" width="30.85546875" customWidth="1"/>
    <col min="47" max="47" width="41.85546875" customWidth="1"/>
    <col min="48" max="48" width="42.7109375" customWidth="1"/>
    <col min="49" max="49" width="22.140625" customWidth="1"/>
    <col min="50" max="50" width="20.85546875" customWidth="1"/>
    <col min="51" max="51" width="19.7109375" customWidth="1"/>
    <col min="52" max="52" width="18.42578125" customWidth="1"/>
    <col min="53" max="53" width="52" customWidth="1"/>
    <col min="54" max="54" width="14.28515625" customWidth="1"/>
    <col min="55" max="55" width="13.42578125" customWidth="1"/>
    <col min="56" max="56" width="16.85546875" bestFit="1" customWidth="1"/>
    <col min="57" max="57" width="12.28515625" customWidth="1"/>
    <col min="58" max="58" width="14.28515625" bestFit="1" customWidth="1"/>
    <col min="59" max="59" width="11" customWidth="1"/>
    <col min="60" max="60" width="12.42578125" customWidth="1"/>
    <col min="65" max="65" width="34.7109375" customWidth="1"/>
    <col min="66" max="66" width="16.85546875" bestFit="1" customWidth="1"/>
    <col min="69" max="69" width="25" customWidth="1"/>
    <col min="70" max="70" width="17" customWidth="1"/>
  </cols>
  <sheetData>
    <row r="1" spans="1:70" ht="36.75" customHeight="1" thickBot="1">
      <c r="A1" s="33" t="s">
        <v>0</v>
      </c>
      <c r="B1" s="33" t="s">
        <v>171</v>
      </c>
      <c r="C1" s="33" t="s">
        <v>219</v>
      </c>
      <c r="D1" s="33" t="s">
        <v>1081</v>
      </c>
      <c r="E1" s="33" t="s">
        <v>2</v>
      </c>
      <c r="F1" s="33" t="s">
        <v>20</v>
      </c>
      <c r="G1" s="33" t="s">
        <v>3</v>
      </c>
      <c r="H1" s="33" t="s">
        <v>4</v>
      </c>
      <c r="I1" s="33" t="s">
        <v>5</v>
      </c>
      <c r="J1" s="33" t="s">
        <v>6</v>
      </c>
      <c r="K1" s="33" t="s">
        <v>7</v>
      </c>
      <c r="L1" s="33" t="s">
        <v>8</v>
      </c>
      <c r="M1" s="33" t="s">
        <v>9</v>
      </c>
      <c r="N1" s="33" t="s">
        <v>21</v>
      </c>
      <c r="O1" s="33" t="s">
        <v>22</v>
      </c>
      <c r="P1" s="33" t="s">
        <v>23</v>
      </c>
      <c r="Q1" s="33" t="s">
        <v>27</v>
      </c>
      <c r="R1" s="33" t="s">
        <v>31</v>
      </c>
      <c r="S1" s="33" t="s">
        <v>24</v>
      </c>
      <c r="T1" s="33" t="s">
        <v>26</v>
      </c>
      <c r="U1" s="33" t="s">
        <v>25</v>
      </c>
      <c r="V1" s="33" t="s">
        <v>28</v>
      </c>
      <c r="W1" s="33" t="s">
        <v>29</v>
      </c>
      <c r="X1" s="33" t="s">
        <v>30</v>
      </c>
      <c r="Y1" s="33" t="s">
        <v>95</v>
      </c>
      <c r="Z1" s="33" t="s">
        <v>107</v>
      </c>
      <c r="AA1" s="33" t="s">
        <v>94</v>
      </c>
      <c r="AB1" s="33" t="s">
        <v>106</v>
      </c>
      <c r="AC1" s="33" t="s">
        <v>104</v>
      </c>
      <c r="AD1" s="33" t="s">
        <v>1075</v>
      </c>
      <c r="AE1" s="33" t="s">
        <v>222</v>
      </c>
      <c r="AF1" s="33" t="s">
        <v>166</v>
      </c>
      <c r="AG1" s="33" t="s">
        <v>167</v>
      </c>
      <c r="AH1" s="33" t="s">
        <v>165</v>
      </c>
      <c r="AI1" s="33" t="s">
        <v>138</v>
      </c>
      <c r="AJ1" s="33" t="s">
        <v>139</v>
      </c>
      <c r="AK1" s="33" t="s">
        <v>140</v>
      </c>
      <c r="AL1" s="33" t="s">
        <v>141</v>
      </c>
      <c r="AM1" s="33" t="s">
        <v>170</v>
      </c>
      <c r="AN1" s="33" t="s">
        <v>172</v>
      </c>
      <c r="AO1" s="33" t="s">
        <v>33</v>
      </c>
      <c r="AP1" s="33" t="s">
        <v>142</v>
      </c>
      <c r="AQ1" s="33" t="s">
        <v>884</v>
      </c>
      <c r="AR1" s="33" t="s">
        <v>220</v>
      </c>
      <c r="AS1" s="33" t="s">
        <v>221</v>
      </c>
      <c r="AT1" s="33" t="s">
        <v>234</v>
      </c>
      <c r="AU1" s="33" t="s">
        <v>164</v>
      </c>
      <c r="AV1" s="33" t="s">
        <v>169</v>
      </c>
      <c r="AW1" s="33" t="s">
        <v>143</v>
      </c>
      <c r="AX1" s="33" t="s">
        <v>144</v>
      </c>
      <c r="AY1" s="33" t="s">
        <v>173</v>
      </c>
      <c r="AZ1" s="33" t="s">
        <v>96</v>
      </c>
      <c r="BA1" s="33" t="s">
        <v>97</v>
      </c>
      <c r="BB1" s="33" t="s">
        <v>98</v>
      </c>
      <c r="BC1" s="33" t="s">
        <v>163</v>
      </c>
      <c r="BD1" s="33" t="s">
        <v>898</v>
      </c>
      <c r="BE1" s="33" t="s">
        <v>1082</v>
      </c>
      <c r="BF1" s="33" t="s">
        <v>1073</v>
      </c>
      <c r="BG1" s="33" t="s">
        <v>1077</v>
      </c>
      <c r="BH1" s="33" t="s">
        <v>1074</v>
      </c>
    </row>
    <row r="2" spans="1:70" ht="20.25" thickTop="1" thickBot="1">
      <c r="A2" t="s">
        <v>10</v>
      </c>
      <c r="B2">
        <v>130.69999999999999</v>
      </c>
      <c r="C2">
        <v>45151</v>
      </c>
      <c r="D2" s="32">
        <f>E2+F2</f>
        <v>31791</v>
      </c>
      <c r="E2" s="32">
        <v>18191</v>
      </c>
      <c r="F2" s="32">
        <v>13600</v>
      </c>
      <c r="G2" s="1">
        <v>2000</v>
      </c>
      <c r="H2" s="34" t="s">
        <v>228</v>
      </c>
      <c r="I2" s="18">
        <v>2000</v>
      </c>
      <c r="J2" s="18">
        <v>2000</v>
      </c>
      <c r="K2" s="18">
        <v>2000</v>
      </c>
      <c r="L2" s="18">
        <v>2000</v>
      </c>
      <c r="M2" s="19">
        <f>E2-I2-J2-K2-L2</f>
        <v>10191</v>
      </c>
      <c r="N2" s="6">
        <v>0.3</v>
      </c>
      <c r="O2" s="18">
        <v>0</v>
      </c>
      <c r="P2" s="18">
        <v>0</v>
      </c>
      <c r="Q2" s="6">
        <v>0.1</v>
      </c>
      <c r="R2" s="5" t="s">
        <v>32</v>
      </c>
      <c r="S2" s="3">
        <f>500000*12</f>
        <v>6000000</v>
      </c>
      <c r="T2" s="1">
        <v>2000</v>
      </c>
      <c r="U2" s="1">
        <v>18000</v>
      </c>
      <c r="V2" s="1">
        <v>1250000</v>
      </c>
      <c r="W2" s="4">
        <f>V2/E2</f>
        <v>68.715298774119063</v>
      </c>
      <c r="X2" s="9">
        <f>V2/(E2*100)</f>
        <v>0.68715298774119071</v>
      </c>
      <c r="Y2" s="22"/>
      <c r="Z2" s="3">
        <v>1091200000</v>
      </c>
      <c r="AA2" s="21">
        <v>0.125</v>
      </c>
      <c r="AB2" s="3"/>
      <c r="AC2" s="21">
        <v>5.0000000000000001E-3</v>
      </c>
      <c r="AD2" s="3">
        <f>Z2*AA2+AB2*AC2</f>
        <v>136400000</v>
      </c>
      <c r="AE2" s="27">
        <v>2575.3582423423622</v>
      </c>
      <c r="AF2" s="27">
        <v>96.166197869371672</v>
      </c>
      <c r="AG2" s="27">
        <f>$AE$22*1.2</f>
        <v>120</v>
      </c>
      <c r="AH2" s="27">
        <f>AE2*AG2/AF2</f>
        <v>3213.6342699216943</v>
      </c>
      <c r="AI2" s="13">
        <v>14965.626453456181</v>
      </c>
      <c r="AJ2" s="13">
        <v>8612.7881995969074</v>
      </c>
      <c r="AK2" s="13">
        <v>6067.2631835396778</v>
      </c>
      <c r="AL2" s="2">
        <v>200</v>
      </c>
      <c r="AM2" s="28">
        <v>0.3013029638369138</v>
      </c>
      <c r="AN2" s="27">
        <f>AM2*(AJ2+AE2)</f>
        <v>3371.0216827977233</v>
      </c>
      <c r="AO2" s="4">
        <f>AJ2*G2</f>
        <v>17225576.399193816</v>
      </c>
      <c r="AP2" s="3">
        <f t="shared" ref="AP2:AP6" si="0">AD2/10</f>
        <v>13640000</v>
      </c>
      <c r="AQ2" s="3">
        <f>V2/AU2</f>
        <v>82631.880481248081</v>
      </c>
      <c r="AR2" s="3">
        <f>-($AJ2+$AE2)+($C2*($AJ2+$AE2)+$E2*$AH2)/($C2+$E2)</f>
        <v>-2290.1763588325539</v>
      </c>
      <c r="AS2" s="3">
        <f>-($AJ2+$AE2)+($C2*($AJ2+$AE2)+$E2*$AH2+$E2*$AN2)/($C2+$E2)</f>
        <v>-1322.0626991474564</v>
      </c>
      <c r="AT2" s="3">
        <f>-AS2*(E2+C2)/AL2</f>
        <v>418710.4774469909</v>
      </c>
      <c r="AU2" s="3">
        <f>E2/1500+3</f>
        <v>15.127333333333333</v>
      </c>
      <c r="AV2" s="3">
        <f>AT2/AU2</f>
        <v>27679.067302916857</v>
      </c>
      <c r="AW2" s="3">
        <v>1328600.0000000002</v>
      </c>
      <c r="AX2" s="9">
        <f t="shared" ref="AX2:AX13" si="1">(AW2+AT2)/AW2</f>
        <v>1.3151516464300699</v>
      </c>
      <c r="AY2" s="22">
        <f>AV2/AW2</f>
        <v>2.0833258545022468E-2</v>
      </c>
      <c r="BB2" s="15">
        <f>AD2+Y2+AZ2</f>
        <v>136400000</v>
      </c>
      <c r="BC2" s="15">
        <f>BB2/D2</f>
        <v>4290.5224749142835</v>
      </c>
      <c r="BD2" s="15">
        <f>Z2+AB2+S2*E2/G2+BB2</f>
        <v>1282173000</v>
      </c>
      <c r="BE2" s="15">
        <f>BD2/D2</f>
        <v>40331.320184958007</v>
      </c>
      <c r="BF2" s="15">
        <f>GETPIVOTDATA("הוצאות פיתוח",'עיבוד נתוני מכרזים'!$A$53,"ישוב","אשקלון")</f>
        <v>86111179</v>
      </c>
      <c r="BG2">
        <f>GETPIVOTDATA("מס' יח""ד",'עיבוד נתוני מכרזים'!$A$29,"ישוב","אשקלון")</f>
        <v>917</v>
      </c>
      <c r="BH2" s="15">
        <f>BF2/BG2</f>
        <v>93905.32061068702</v>
      </c>
      <c r="BJ2" s="125">
        <f>E2/C2</f>
        <v>0.40289251622333944</v>
      </c>
      <c r="BM2" s="238" t="str">
        <f>"עיקרי הסכם הגג של "&amp;$BK$3</f>
        <v>עיקרי הסכם הגג של ראש העין</v>
      </c>
      <c r="BN2" s="239"/>
      <c r="BQ2" s="232" t="s">
        <v>5</v>
      </c>
      <c r="BR2">
        <f>INDEX($A$1:$BH$13,MATCH($BK$3,$A$1:$A$13,0),MATCH($BQ2,$A$1:$BH$1,0))</f>
        <v>3000</v>
      </c>
    </row>
    <row r="3" spans="1:70" ht="31.5" thickTop="1" thickBot="1">
      <c r="A3" t="s">
        <v>11</v>
      </c>
      <c r="B3">
        <v>203.6</v>
      </c>
      <c r="C3">
        <v>74581</v>
      </c>
      <c r="D3" s="32">
        <f>E3+F3</f>
        <v>19290</v>
      </c>
      <c r="E3" s="32">
        <v>18140</v>
      </c>
      <c r="F3" s="32">
        <f>19290-E3</f>
        <v>1150</v>
      </c>
      <c r="G3" s="1">
        <f>D3/6</f>
        <v>3215</v>
      </c>
      <c r="H3" s="34" t="s">
        <v>229</v>
      </c>
      <c r="I3" s="18">
        <v>6202</v>
      </c>
      <c r="J3" s="18">
        <v>3711</v>
      </c>
      <c r="K3" s="18">
        <v>4136</v>
      </c>
      <c r="L3" s="18">
        <f>4088/2</f>
        <v>2044</v>
      </c>
      <c r="M3" s="19">
        <f>D3-SUM(I3:L3)</f>
        <v>3197</v>
      </c>
      <c r="N3" s="6">
        <v>0</v>
      </c>
      <c r="O3" s="18">
        <v>0</v>
      </c>
      <c r="P3" s="18">
        <v>0</v>
      </c>
      <c r="Q3" s="6">
        <v>0</v>
      </c>
      <c r="R3" s="5"/>
      <c r="S3" s="3">
        <f>500000*12</f>
        <v>6000000</v>
      </c>
      <c r="T3" s="1">
        <v>0</v>
      </c>
      <c r="U3" s="1">
        <v>0</v>
      </c>
      <c r="V3" s="1">
        <f>SUMIFS('תוכניות בניין עיר'!$H$2:$H$47,'תוכניות בניין עיר'!$A$2:$A$47,'ריכוז נתונים מההסכמים'!$A3)</f>
        <v>97600</v>
      </c>
      <c r="W3" s="4">
        <f>V3/E3</f>
        <v>5.3803748621830207</v>
      </c>
      <c r="X3" s="9">
        <f>V3/(E3*100)</f>
        <v>5.3803748621830211E-2</v>
      </c>
      <c r="Y3" s="3">
        <v>50000000</v>
      </c>
      <c r="Z3" s="3">
        <v>1070629097</v>
      </c>
      <c r="AA3" s="21">
        <v>7.4999999999999997E-2</v>
      </c>
      <c r="AB3" s="3"/>
      <c r="AC3" s="21">
        <v>0.01</v>
      </c>
      <c r="AD3" s="3">
        <f>Z3*AA3+AB3*AC3</f>
        <v>80297182.274999991</v>
      </c>
      <c r="AE3" s="13">
        <v>3319.9608479371423</v>
      </c>
      <c r="AF3" s="13">
        <v>103.44591786111745</v>
      </c>
      <c r="AG3" s="27">
        <f>$AE$22*1.2</f>
        <v>120</v>
      </c>
      <c r="AH3" s="27">
        <f t="shared" ref="AH3:AH13" si="2">AE3*AG3/AF3</f>
        <v>3851.2423688610643</v>
      </c>
      <c r="AI3" s="13">
        <v>16210.911626285517</v>
      </c>
      <c r="AJ3" s="13">
        <v>10298.467438087449</v>
      </c>
      <c r="AK3" s="13">
        <v>7513.1870047331086</v>
      </c>
      <c r="AL3" s="2">
        <v>220</v>
      </c>
      <c r="AM3" s="28">
        <v>0.32371445224658257</v>
      </c>
      <c r="AN3" s="27">
        <f t="shared" ref="AN3:AN13" si="3">AM3*(AJ3+AE3)</f>
        <v>4408.4820530698171</v>
      </c>
      <c r="AO3" s="3">
        <f>AJ3*G3</f>
        <v>33109572.813451149</v>
      </c>
      <c r="AP3" s="3">
        <f t="shared" si="0"/>
        <v>8029718.2274999991</v>
      </c>
      <c r="AQ3" s="3">
        <f>V3/AU3</f>
        <v>6466.4310954063603</v>
      </c>
      <c r="AR3" s="3">
        <f>-($AJ3+$AE3)+($C3*($AJ3+$AE3)+$E3*$AH3)/($C3+$E3)</f>
        <v>-1910.8589482139578</v>
      </c>
      <c r="AS3" s="3">
        <f>-($AJ3+$AE3)+($C3*($AJ3+$AE3)+$E3*$AH3+$E3*$AN3)/($C3+$E3)</f>
        <v>-1048.3804973486021</v>
      </c>
      <c r="AT3" s="3">
        <f>-AS3*(E3+C3)/AL3</f>
        <v>441849.49133936246</v>
      </c>
      <c r="AU3" s="3">
        <f>E3/1500+3</f>
        <v>15.093333333333334</v>
      </c>
      <c r="AV3" s="3">
        <f t="shared" ref="AV3:AV13" si="4">AT3/AU3</f>
        <v>29274.480433261648</v>
      </c>
      <c r="AW3" s="3">
        <v>1683700</v>
      </c>
      <c r="AX3" s="9">
        <f t="shared" si="1"/>
        <v>1.2624276838744208</v>
      </c>
      <c r="AY3" s="22">
        <f t="shared" ref="AY3:AY13" si="5">AV3/AW3</f>
        <v>1.7386993189559687E-2</v>
      </c>
      <c r="AZ3" s="11">
        <f>30000000+140000000</f>
        <v>170000000</v>
      </c>
      <c r="BA3" t="s">
        <v>108</v>
      </c>
      <c r="BB3" s="15">
        <f>AD3+Y3+AZ3</f>
        <v>300297182.27499998</v>
      </c>
      <c r="BC3" s="15">
        <f>BB3/D3</f>
        <v>15567.505561171591</v>
      </c>
      <c r="BD3" s="15">
        <f>Z3+AB3+S3*E3/G3+BB3</f>
        <v>1404780089.5393858</v>
      </c>
      <c r="BE3" s="15">
        <f>BD3/D3</f>
        <v>72824.265917023629</v>
      </c>
      <c r="BF3" s="15">
        <f>GETPIVOTDATA("הוצאות פיתוח",'עיבוד נתוני מכרזים'!$A$53,"ישוב","באר שבע")</f>
        <v>1219402838</v>
      </c>
      <c r="BG3">
        <f>GETPIVOTDATA("מס' יח""ד",'עיבוד נתוני מכרזים'!$A$29,"ישוב","באר שבע")</f>
        <v>4842</v>
      </c>
      <c r="BH3" s="15">
        <f t="shared" ref="BH3:BH13" si="6">BF3/BG3</f>
        <v>251838.66955803387</v>
      </c>
      <c r="BJ3" s="125">
        <f>E3/C3</f>
        <v>0.24322548638393157</v>
      </c>
      <c r="BK3" t="s">
        <v>16</v>
      </c>
      <c r="BM3" s="235" t="s">
        <v>2</v>
      </c>
      <c r="BN3" s="234">
        <f>INDEX($A$1:$BH$13,MATCH($BK$3,$A$1:$A$13,0),MATCH($BM3,$A$1:$BH$1,0))</f>
        <v>9436</v>
      </c>
      <c r="BQ3" s="232" t="s">
        <v>6</v>
      </c>
      <c r="BR3">
        <f>INDEX($A$1:$BH$13,MATCH($BK$3,$A$1:$A$13,0),MATCH($BQ3,$A$1:$BH$1,0))</f>
        <v>2800</v>
      </c>
    </row>
    <row r="4" spans="1:70" ht="16.5" thickTop="1" thickBot="1">
      <c r="A4" t="s">
        <v>12</v>
      </c>
      <c r="B4">
        <v>39.1</v>
      </c>
      <c r="C4">
        <v>15583</v>
      </c>
      <c r="D4" s="32">
        <v>7300</v>
      </c>
      <c r="E4" s="32">
        <f>'תוכניות בניין עיר'!G20</f>
        <v>4573</v>
      </c>
      <c r="F4" s="32">
        <f>'תוכניות בניין עיר'!G21+'תוכניות בניין עיר'!G22</f>
        <v>2865</v>
      </c>
      <c r="G4" s="1">
        <f>E4/5</f>
        <v>914.6</v>
      </c>
      <c r="H4" s="34" t="s">
        <v>224</v>
      </c>
      <c r="I4" s="18">
        <v>1089</v>
      </c>
      <c r="J4" s="18">
        <v>886</v>
      </c>
      <c r="K4" s="18">
        <f>578+1671+337</f>
        <v>2586</v>
      </c>
      <c r="L4" s="18">
        <v>2000</v>
      </c>
      <c r="M4" s="19">
        <f>D4-SUM(I4:L4)</f>
        <v>739</v>
      </c>
      <c r="N4" s="6">
        <v>0.2</v>
      </c>
      <c r="O4" s="18">
        <v>0</v>
      </c>
      <c r="P4" s="18">
        <v>0</v>
      </c>
      <c r="Q4" s="6">
        <v>0</v>
      </c>
      <c r="R4" s="5"/>
      <c r="S4" s="3"/>
      <c r="T4" s="1"/>
      <c r="U4" s="1"/>
      <c r="V4" s="1">
        <f>SUMIFS('תוכניות בניין עיר'!$H$2:$H$47,'תוכניות בניין עיר'!$A$2:$A$47,'ריכוז נתונים מההסכמים'!$A4)</f>
        <v>13600</v>
      </c>
      <c r="W4" s="4">
        <f>V4/E4</f>
        <v>2.9739776951672861</v>
      </c>
      <c r="X4" s="9">
        <f>V4/(E4*100)</f>
        <v>2.9739776951672861E-2</v>
      </c>
      <c r="Y4" s="3">
        <v>27118000</v>
      </c>
      <c r="Z4" s="3">
        <v>549767036</v>
      </c>
      <c r="AA4" s="21">
        <v>6.5000000000000002E-2</v>
      </c>
      <c r="AB4" s="3">
        <v>277266027</v>
      </c>
      <c r="AC4" s="21">
        <v>5.0000000000000001E-3</v>
      </c>
      <c r="AD4" s="3">
        <f>Z4*AA4+AB4*AC4</f>
        <v>37121187.475000001</v>
      </c>
      <c r="AE4" s="13">
        <v>3675.5438619007891</v>
      </c>
      <c r="AF4" s="13">
        <v>99.69197202079188</v>
      </c>
      <c r="AG4" s="27">
        <f>$AE$22*1.2</f>
        <v>120</v>
      </c>
      <c r="AH4" s="27">
        <f t="shared" si="2"/>
        <v>4424.2806565819119</v>
      </c>
      <c r="AI4" s="13">
        <v>13531.348264133992</v>
      </c>
      <c r="AJ4" s="13">
        <v>9544.4394532503375</v>
      </c>
      <c r="AK4" s="13">
        <v>5827.1834691651165</v>
      </c>
      <c r="AL4" s="2">
        <v>140</v>
      </c>
      <c r="AM4" s="28">
        <v>0.43573762056629139</v>
      </c>
      <c r="AN4" s="27">
        <f t="shared" si="3"/>
        <v>5760.4440736700244</v>
      </c>
      <c r="AO4" s="3">
        <f>AJ4*G4</f>
        <v>8729344.3239427581</v>
      </c>
      <c r="AP4" s="3">
        <f t="shared" si="0"/>
        <v>3712118.7475000001</v>
      </c>
      <c r="AQ4" s="3">
        <f>V4/AU4</f>
        <v>2248.4294059296817</v>
      </c>
      <c r="AR4" s="3">
        <f>-($AJ4+$AE4)+($C4*($AJ4+$AE4)+$E4*$AH4)/($C4+$E4)</f>
        <v>-1995.5719516589124</v>
      </c>
      <c r="AS4" s="3">
        <f>-($AJ4+$AE4)+($C4*($AJ4+$AE4)+$E4*$AH4+$E4*$AN4)/($C4+$E4)</f>
        <v>-688.64047969557396</v>
      </c>
      <c r="AT4" s="3">
        <f>-AS4*(E4+C4)/AL4</f>
        <v>99144.553633885633</v>
      </c>
      <c r="AU4" s="3">
        <f>E4/1500+3</f>
        <v>6.0486666666666666</v>
      </c>
      <c r="AV4" s="3">
        <f t="shared" si="4"/>
        <v>16391.141899132421</v>
      </c>
      <c r="AW4" s="3">
        <v>437900</v>
      </c>
      <c r="AX4" s="9">
        <f t="shared" si="1"/>
        <v>1.2264091199677682</v>
      </c>
      <c r="AY4" s="22">
        <f t="shared" si="5"/>
        <v>3.7431244346043439E-2</v>
      </c>
      <c r="AZ4" s="11">
        <f>141580000-114405000+44300000</f>
        <v>71475000</v>
      </c>
      <c r="BA4" t="s">
        <v>109</v>
      </c>
      <c r="BB4" s="15">
        <f>AD4+Y4+AZ4</f>
        <v>135714187.47499999</v>
      </c>
      <c r="BC4" s="15">
        <f>BB4/D4</f>
        <v>18590.984585616439</v>
      </c>
      <c r="BD4" s="15">
        <f>(AD4+Z4+AB4+S4*E4/G4)*1.18</f>
        <v>1019702015.5605</v>
      </c>
      <c r="BE4" s="15">
        <f>BD4/D4</f>
        <v>139685.20761102741</v>
      </c>
      <c r="BF4" s="15">
        <f>GETPIVOTDATA("הוצאות פיתוח",'עיבוד נתוני מכרזים'!$A$53,"ישוב","קרית ביאליק")</f>
        <v>373691532</v>
      </c>
      <c r="BG4">
        <f>GETPIVOTDATA("מס' יח""ד",'עיבוד נתוני מכרזים'!$A$29,"ישוב","קרית ביאליק")</f>
        <v>1910</v>
      </c>
      <c r="BH4" s="15">
        <f t="shared" si="6"/>
        <v>195650.0167539267</v>
      </c>
      <c r="BJ4" s="125">
        <f>E4/C4</f>
        <v>0.29346082269139445</v>
      </c>
      <c r="BM4" s="233" t="s">
        <v>1076</v>
      </c>
      <c r="BN4" s="236">
        <f>SUM(BR2:BR4)</f>
        <v>8300</v>
      </c>
      <c r="BQ4" s="232" t="s">
        <v>7</v>
      </c>
      <c r="BR4">
        <f>INDEX($A$1:$BH$13,MATCH($BK$3,$A$1:$A$13,0),MATCH($BQ4,$A$1:$BH$1,0))</f>
        <v>2500</v>
      </c>
    </row>
    <row r="5" spans="1:70" ht="16.5" thickTop="1" thickBot="1">
      <c r="A5" s="30" t="s">
        <v>34</v>
      </c>
      <c r="B5" s="8">
        <v>88.7</v>
      </c>
      <c r="C5">
        <v>23028</v>
      </c>
      <c r="D5" s="32">
        <f>I5+J5+K5</f>
        <v>11684</v>
      </c>
      <c r="E5" s="32">
        <f>D5</f>
        <v>11684</v>
      </c>
      <c r="F5" s="32">
        <v>0</v>
      </c>
      <c r="G5" s="1">
        <f>D5/3</f>
        <v>3894.6666666666665</v>
      </c>
      <c r="H5" s="34" t="s">
        <v>224</v>
      </c>
      <c r="I5" s="18">
        <f>'תוכניות בניין עיר'!G23+'תוכניות בניין עיר'!G24</f>
        <v>3175</v>
      </c>
      <c r="J5" s="18">
        <f>'תוכניות בניין עיר'!G25</f>
        <v>3867</v>
      </c>
      <c r="K5" s="18">
        <f>'תוכניות בניין עיר'!G26</f>
        <v>4642</v>
      </c>
      <c r="L5" s="18">
        <v>0</v>
      </c>
      <c r="M5" s="19"/>
      <c r="N5" s="6">
        <v>0</v>
      </c>
      <c r="O5" s="18">
        <v>0</v>
      </c>
      <c r="P5" s="24">
        <v>0</v>
      </c>
      <c r="Q5" s="6">
        <v>0</v>
      </c>
      <c r="R5" s="5"/>
      <c r="S5" s="3"/>
      <c r="T5" s="1">
        <v>0</v>
      </c>
      <c r="U5" s="1">
        <v>0</v>
      </c>
      <c r="V5" s="1"/>
      <c r="W5" s="4"/>
      <c r="X5" s="9"/>
      <c r="Y5" s="3"/>
      <c r="Z5" s="3"/>
      <c r="AA5" s="21">
        <v>6.5000000000000002E-2</v>
      </c>
      <c r="AB5" s="3"/>
      <c r="AC5" s="21"/>
      <c r="AD5" s="3"/>
      <c r="AE5" s="13">
        <v>5979.6769150599266</v>
      </c>
      <c r="AF5" s="13">
        <v>158.72850442939028</v>
      </c>
      <c r="AG5" s="27">
        <f>$AE$22*1.2</f>
        <v>120</v>
      </c>
      <c r="AH5" s="27">
        <f t="shared" si="2"/>
        <v>4520.6828627708474</v>
      </c>
      <c r="AI5" s="13">
        <v>15758.077123501824</v>
      </c>
      <c r="AJ5" s="13">
        <v>6661.8464478026744</v>
      </c>
      <c r="AK5" s="13">
        <v>3029.8332464825435</v>
      </c>
      <c r="AL5" s="2">
        <v>140</v>
      </c>
      <c r="AM5" s="28">
        <v>0.26723667080028446</v>
      </c>
      <c r="AN5" s="27">
        <f t="shared" si="3"/>
        <v>3378.2786173354179</v>
      </c>
      <c r="AO5" s="3">
        <f>AJ5*G5</f>
        <v>25945671.298708815</v>
      </c>
      <c r="AP5" s="3">
        <f t="shared" si="0"/>
        <v>0</v>
      </c>
      <c r="AQ5" s="3">
        <f>V5/AU5</f>
        <v>0</v>
      </c>
      <c r="AR5" s="3">
        <f>-($AJ5+$AE5)+($C5*($AJ5+$AE5)+$E5*$AH5)/($C5+$E5)</f>
        <v>-2733.4610625452879</v>
      </c>
      <c r="AS5" s="3">
        <f>-($AJ5+$AE5)+($C5*($AJ5+$AE5)+$E5*$AH5+$E5*$AN5)/($C5+$E5)</f>
        <v>-1596.3382414762909</v>
      </c>
      <c r="AT5" s="3">
        <f>-AS5*(E5+C5)/AL5</f>
        <v>395800.66455803579</v>
      </c>
      <c r="AU5" s="3">
        <f>E5/1500+3</f>
        <v>10.789333333333333</v>
      </c>
      <c r="AV5" s="3">
        <f t="shared" si="4"/>
        <v>36684.441228191652</v>
      </c>
      <c r="AW5" s="3">
        <v>483200</v>
      </c>
      <c r="AX5" s="9">
        <f t="shared" si="1"/>
        <v>1.8191238918833521</v>
      </c>
      <c r="AY5" s="22">
        <f t="shared" si="5"/>
        <v>7.5919787309999279E-2</v>
      </c>
      <c r="AZ5" s="11"/>
      <c r="BB5" s="15"/>
      <c r="BC5" s="15">
        <f>BB5/D5</f>
        <v>0</v>
      </c>
      <c r="BD5" s="15">
        <f>Z5+AB5+S5*E5/G5+BB5</f>
        <v>0</v>
      </c>
      <c r="BE5" s="15"/>
      <c r="BF5" s="15">
        <f>GETPIVOTDATA("הוצאות פיתוח",'עיבוד נתוני מכרזים'!$A$53,"ישוב","מודיעין-מכבים-רעות")</f>
        <v>1447137260</v>
      </c>
      <c r="BG5">
        <f>GETPIVOTDATA("מס' יח""ד",'עיבוד נתוני מכרזים'!$A$29,"ישוב","מודיעין-מכבים-רעות")</f>
        <v>6789</v>
      </c>
      <c r="BH5" s="15">
        <f t="shared" si="6"/>
        <v>213159.11916335247</v>
      </c>
      <c r="BJ5" s="125">
        <f>E5/C5</f>
        <v>0.50738231717908633</v>
      </c>
      <c r="BM5" s="233" t="s">
        <v>3</v>
      </c>
      <c r="BN5" s="236">
        <f>INDEX($A$1:$BH$13,MATCH($BK$3,$A$1:$A$13,0),MATCH($BM5,$A$1:$BH$1,0))</f>
        <v>2359</v>
      </c>
      <c r="BQ5" s="232" t="s">
        <v>8</v>
      </c>
      <c r="BR5">
        <f>INDEX($A$1:$BH$13,MATCH($BK$3,$A$1:$A$13,0),MATCH($BQ5,$A$1:$BH$1,0))</f>
        <v>1227</v>
      </c>
    </row>
    <row r="6" spans="1:70" ht="31.5" thickTop="1" thickBot="1">
      <c r="A6" t="s">
        <v>14</v>
      </c>
      <c r="B6">
        <v>44.9</v>
      </c>
      <c r="C6">
        <v>16574</v>
      </c>
      <c r="D6" s="32">
        <f>SUMIFS('תוכניות בניין עיר'!$G$2:$G$63,'תוכניות בניין עיר'!$A$2:$A$63,'ריכוז נתונים מההסכמים'!$A6)</f>
        <v>13136</v>
      </c>
      <c r="E6" s="32">
        <f>D6</f>
        <v>13136</v>
      </c>
      <c r="F6" s="32">
        <v>0</v>
      </c>
      <c r="G6" s="1">
        <v>2000</v>
      </c>
      <c r="H6" s="34" t="s">
        <v>712</v>
      </c>
      <c r="I6" s="18">
        <v>1766</v>
      </c>
      <c r="J6" s="18">
        <v>1000</v>
      </c>
      <c r="K6" s="18">
        <v>2000</v>
      </c>
      <c r="L6" s="18">
        <v>2000</v>
      </c>
      <c r="M6" s="19">
        <f>D6-SUM(I6:L6)</f>
        <v>6370</v>
      </c>
      <c r="N6" s="6">
        <v>0.3</v>
      </c>
      <c r="O6" s="18">
        <v>0</v>
      </c>
      <c r="P6" s="24">
        <v>0</v>
      </c>
      <c r="Q6" s="6">
        <v>0.1</v>
      </c>
      <c r="R6" s="5"/>
      <c r="S6" s="3">
        <f>12*320000</f>
        <v>3840000</v>
      </c>
      <c r="T6" s="26"/>
      <c r="U6" s="26">
        <v>0</v>
      </c>
      <c r="V6" s="1">
        <f>SUMIFS('תוכניות בניין עיר'!$H$2:$H$57,'תוכניות בניין עיר'!$A$2:$A$57,'ריכוז נתונים מההסכמים'!$A6)</f>
        <v>289010</v>
      </c>
      <c r="W6" s="4">
        <f>V6/E6</f>
        <v>22.001370280146162</v>
      </c>
      <c r="X6" s="9">
        <f>V6/(E6*100)</f>
        <v>0.22001370280146162</v>
      </c>
      <c r="Y6" s="3"/>
      <c r="Z6" s="25">
        <v>385889000</v>
      </c>
      <c r="AA6" s="21">
        <v>0.14000000000000001</v>
      </c>
      <c r="AB6" s="3"/>
      <c r="AC6" s="21"/>
      <c r="AD6" s="3">
        <v>93324000</v>
      </c>
      <c r="AE6" s="13">
        <v>2736.153010739713</v>
      </c>
      <c r="AF6" s="13">
        <v>107.55400024134185</v>
      </c>
      <c r="AG6" s="27">
        <f>$AE$22*1.2</f>
        <v>120</v>
      </c>
      <c r="AH6" s="27">
        <f t="shared" si="2"/>
        <v>3052.7768428138679</v>
      </c>
      <c r="AI6" s="13">
        <v>15352.178110293233</v>
      </c>
      <c r="AJ6" s="13">
        <v>8559.4907686738261</v>
      </c>
      <c r="AK6" s="13">
        <v>6251.6592252926266</v>
      </c>
      <c r="AL6" s="2">
        <v>185</v>
      </c>
      <c r="AM6" s="28">
        <v>0.33914664501586422</v>
      </c>
      <c r="AN6" s="27">
        <f t="shared" si="3"/>
        <v>3830.879691082418</v>
      </c>
      <c r="AO6" s="3">
        <f>AJ6*G6</f>
        <v>17118981.537347652</v>
      </c>
      <c r="AP6" s="3">
        <f t="shared" si="0"/>
        <v>9332400</v>
      </c>
      <c r="AQ6" s="3">
        <f>V6/AU6</f>
        <v>24581.254252665003</v>
      </c>
      <c r="AR6" s="3">
        <f>-($AJ6+$AE6)+($C6*($AJ6+$AE6)+$E6*$AH6)/($C6+$E6)</f>
        <v>-3644.5069026985284</v>
      </c>
      <c r="AS6" s="3">
        <f>-($AJ6+$AE6)+($C6*($AJ6+$AE6)+$E6*$AH6+$E6*$AN6)/($C6+$E6)</f>
        <v>-1950.719099869224</v>
      </c>
      <c r="AT6" s="3">
        <f>-AS6*(E6+C6)/AL6</f>
        <v>313274.9430114305</v>
      </c>
      <c r="AU6" s="3">
        <f>E6/1500+3</f>
        <v>11.757333333333333</v>
      </c>
      <c r="AV6" s="3">
        <f t="shared" si="4"/>
        <v>26645.067731750154</v>
      </c>
      <c r="AW6" s="3">
        <v>523700.00000000006</v>
      </c>
      <c r="AX6" s="9">
        <f t="shared" si="1"/>
        <v>1.5981954229738982</v>
      </c>
      <c r="AY6" s="22">
        <f t="shared" si="5"/>
        <v>5.0878494809528642E-2</v>
      </c>
      <c r="BB6" s="15">
        <f>AD6+Y6+AZ6</f>
        <v>93324000</v>
      </c>
      <c r="BC6" s="15">
        <f>BB6/D6</f>
        <v>7104.4457978075516</v>
      </c>
      <c r="BD6" s="15">
        <f>Z6+AB6+S6*E6/G6+BB6</f>
        <v>504434120</v>
      </c>
      <c r="BE6" s="15">
        <f>BD6/D6</f>
        <v>38400.892204628501</v>
      </c>
      <c r="BF6" s="15">
        <f>GETPIVOTDATA("הוצאות פיתוח",'עיבוד נתוני מכרזים'!$A$53,"ישוב","עפולה")</f>
        <v>7129854</v>
      </c>
      <c r="BG6">
        <f>GETPIVOTDATA("מס' יח""ד",'עיבוד נתוני מכרזים'!$A$29,"ישוב","עפולה")</f>
        <v>92</v>
      </c>
      <c r="BH6" s="15">
        <f t="shared" si="6"/>
        <v>77498.413043478256</v>
      </c>
      <c r="BJ6" s="125">
        <f>E6/C6</f>
        <v>0.79256667068903097</v>
      </c>
      <c r="BM6" s="233" t="s">
        <v>898</v>
      </c>
      <c r="BN6" s="237">
        <f>INDEX($A$1:$BH$13,MATCH($BK$3,$A$1:$A$13,0),MATCH($BM6,$A$1:$BH$1,0))</f>
        <v>125100000</v>
      </c>
      <c r="BQ6" s="232" t="s">
        <v>9</v>
      </c>
      <c r="BR6">
        <f>INDEX($A$1:$BH$13,MATCH($BK$3,$A$1:$A$13,0),MATCH($BQ6,$A$1:$BH$1,0))</f>
        <v>0</v>
      </c>
    </row>
    <row r="7" spans="1:70" ht="16.5" thickTop="1" thickBot="1">
      <c r="A7" t="s">
        <v>15</v>
      </c>
      <c r="B7">
        <v>51.5</v>
      </c>
      <c r="C7">
        <v>15910</v>
      </c>
      <c r="D7" s="32">
        <v>6442</v>
      </c>
      <c r="E7" s="32">
        <f>D7</f>
        <v>6442</v>
      </c>
      <c r="F7" s="32">
        <f>1001+1469+1877+2807-E7</f>
        <v>712</v>
      </c>
      <c r="G7" s="1">
        <f>E7/3</f>
        <v>2147.3333333333335</v>
      </c>
      <c r="H7" s="34" t="s">
        <v>223</v>
      </c>
      <c r="I7" s="18">
        <f>$E$7/3</f>
        <v>2147.3333333333335</v>
      </c>
      <c r="J7" s="18">
        <f>$E$7/3</f>
        <v>2147.3333333333335</v>
      </c>
      <c r="K7" s="18">
        <f>$E$7/3</f>
        <v>2147.3333333333335</v>
      </c>
      <c r="L7" s="18">
        <v>0</v>
      </c>
      <c r="M7" s="19"/>
      <c r="N7" s="6">
        <v>0</v>
      </c>
      <c r="O7" s="18">
        <v>0</v>
      </c>
      <c r="P7" s="24">
        <v>0</v>
      </c>
      <c r="Q7" s="6">
        <v>0</v>
      </c>
      <c r="R7" s="5"/>
      <c r="S7" s="3"/>
      <c r="T7" s="1"/>
      <c r="U7" s="1"/>
      <c r="V7" s="1"/>
      <c r="W7" s="4"/>
      <c r="X7" s="9"/>
      <c r="Y7" s="3">
        <v>46024000</v>
      </c>
      <c r="Z7" s="25">
        <f>(1426696-300000)*1000</f>
        <v>1126696000</v>
      </c>
      <c r="AA7" s="21">
        <v>6.5000000000000002E-2</v>
      </c>
      <c r="AB7" s="3">
        <v>300000000</v>
      </c>
      <c r="AC7" s="21">
        <v>0</v>
      </c>
      <c r="AD7" s="3">
        <f>Z7*AA7+AB7*AC7</f>
        <v>73235240</v>
      </c>
      <c r="AE7" s="13">
        <v>2421.1159668123378</v>
      </c>
      <c r="AF7" s="13">
        <v>96.250554183292181</v>
      </c>
      <c r="AG7" s="27">
        <f>$AE$22*1.2</f>
        <v>120</v>
      </c>
      <c r="AH7" s="27">
        <f t="shared" si="2"/>
        <v>3018.5168125287883</v>
      </c>
      <c r="AI7" s="13">
        <v>23732.345303692444</v>
      </c>
      <c r="AJ7" s="13">
        <v>13862.689214009753</v>
      </c>
      <c r="AK7" s="13">
        <v>11222.876686300588</v>
      </c>
      <c r="AL7" s="2">
        <v>142</v>
      </c>
      <c r="AM7" s="28">
        <v>0.35112113727854377</v>
      </c>
      <c r="AN7" s="27">
        <f t="shared" si="3"/>
        <v>5717.5881943124959</v>
      </c>
      <c r="AO7" s="3">
        <f>AJ7*G7</f>
        <v>29767814.638883613</v>
      </c>
      <c r="AP7" s="3">
        <f t="shared" ref="AP7:AP11" si="7">AD7/10</f>
        <v>7323524</v>
      </c>
      <c r="AQ7" s="3">
        <f>V7/AU7</f>
        <v>0</v>
      </c>
      <c r="AR7" s="3">
        <f>-($AJ7+$AE7)+($C7*($AJ7+$AE7)+$E7*$AH7)/($C7+$E7)</f>
        <v>-3823.1472650566138</v>
      </c>
      <c r="AS7" s="3">
        <f>-($AJ7+$AE7)+($C7*($AJ7+$AE7)+$E7*$AH7+$E7*$AN7)/($C7+$E7)</f>
        <v>-2175.2990569427493</v>
      </c>
      <c r="AT7" s="3">
        <f>-AS7*(E7+C7)/AL7</f>
        <v>342410.45437172067</v>
      </c>
      <c r="AU7" s="3">
        <f>E7/1500+3</f>
        <v>7.2946666666666671</v>
      </c>
      <c r="AV7" s="3">
        <f t="shared" si="4"/>
        <v>46939.835638601806</v>
      </c>
      <c r="AW7" s="3">
        <v>633000</v>
      </c>
      <c r="AX7" s="9">
        <f t="shared" si="1"/>
        <v>1.5409327873170942</v>
      </c>
      <c r="AY7" s="22">
        <f t="shared" si="5"/>
        <v>7.4154558670776943E-2</v>
      </c>
      <c r="BB7" s="15">
        <f>AD7+Y7+AZ7</f>
        <v>119259240</v>
      </c>
      <c r="BC7" s="15">
        <f>BB7/D7</f>
        <v>18512.766221670288</v>
      </c>
      <c r="BD7" s="15">
        <f>Z7+AB7+S7*E7/G7+BB7</f>
        <v>1545955240</v>
      </c>
      <c r="BE7" s="15">
        <f>BD7/D7</f>
        <v>239980.6333436821</v>
      </c>
      <c r="BF7" s="15">
        <f>GETPIVOTDATA("הוצאות פיתוח",'עיבוד נתוני מכרזים'!$A$53,"ישוב","קרית גת")</f>
        <v>837753583</v>
      </c>
      <c r="BG7">
        <f>GETPIVOTDATA("מס' יח""ד",'עיבוד נתוני מכרזים'!$A$29,"ישוב","קרית גת")</f>
        <v>5160</v>
      </c>
      <c r="BH7" s="15">
        <f t="shared" si="6"/>
        <v>162355.34554263565</v>
      </c>
      <c r="BJ7" s="125">
        <f>E7/C7</f>
        <v>0.40490257699560023</v>
      </c>
      <c r="BM7" s="233" t="s">
        <v>1082</v>
      </c>
      <c r="BN7" s="237">
        <f>INDEX($A$1:$BH$13,MATCH($BK$3,$A$1:$A$13,0),MATCH($BM7,$A$1:$BH$1,0))</f>
        <v>6974.7992863514719</v>
      </c>
    </row>
    <row r="8" spans="1:70" ht="16.5" thickTop="1" thickBot="1">
      <c r="A8" s="29" t="s">
        <v>16</v>
      </c>
      <c r="B8">
        <v>42.9</v>
      </c>
      <c r="C8">
        <v>12334</v>
      </c>
      <c r="D8" s="32">
        <v>17936</v>
      </c>
      <c r="E8" s="32">
        <v>9436</v>
      </c>
      <c r="F8" s="32">
        <f>D8-E8</f>
        <v>8500</v>
      </c>
      <c r="G8" s="1">
        <f>E8/4</f>
        <v>2359</v>
      </c>
      <c r="H8" s="34" t="s">
        <v>225</v>
      </c>
      <c r="I8" s="18">
        <v>3000</v>
      </c>
      <c r="J8" s="18">
        <v>2800</v>
      </c>
      <c r="K8" s="18">
        <v>2500</v>
      </c>
      <c r="L8" s="18">
        <v>1227</v>
      </c>
      <c r="M8" s="19"/>
      <c r="N8" s="6">
        <v>0</v>
      </c>
      <c r="O8" s="18">
        <v>0</v>
      </c>
      <c r="P8" s="24">
        <v>0</v>
      </c>
      <c r="Q8" s="6"/>
      <c r="R8" s="5"/>
      <c r="S8" s="3">
        <f>700000*12</f>
        <v>8400000</v>
      </c>
      <c r="T8" s="1"/>
      <c r="U8" s="1"/>
      <c r="V8" s="1"/>
      <c r="W8" s="4"/>
      <c r="X8" s="9"/>
      <c r="Y8" s="3">
        <v>44000000</v>
      </c>
      <c r="Z8" s="3"/>
      <c r="AA8" s="21">
        <v>6.5000000000000002E-2</v>
      </c>
      <c r="AB8" s="3"/>
      <c r="AC8" s="21">
        <v>0.01</v>
      </c>
      <c r="AD8" s="3">
        <f>Z8*AA8+AB8*AC8</f>
        <v>0</v>
      </c>
      <c r="AE8" s="13">
        <v>4177.9633533322522</v>
      </c>
      <c r="AF8" s="13">
        <v>118.25036484514351</v>
      </c>
      <c r="AG8" s="27">
        <f>$AE$22*1.2</f>
        <v>120</v>
      </c>
      <c r="AH8" s="27">
        <f t="shared" si="2"/>
        <v>4239.7805965032567</v>
      </c>
      <c r="AI8" s="13">
        <v>20583.590076212098</v>
      </c>
      <c r="AJ8" s="13">
        <v>12858.277930922653</v>
      </c>
      <c r="AK8" s="13">
        <v>7611.8047673098754</v>
      </c>
      <c r="AL8" s="2">
        <v>145</v>
      </c>
      <c r="AM8" s="28">
        <v>0.31776799524092803</v>
      </c>
      <c r="AN8" s="27">
        <f t="shared" si="3"/>
        <v>5413.572239338414</v>
      </c>
      <c r="AO8" s="3">
        <f>AJ8*G8</f>
        <v>30332677.639046539</v>
      </c>
      <c r="AP8" s="3">
        <f t="shared" si="7"/>
        <v>0</v>
      </c>
      <c r="AQ8" s="3">
        <f>V8/AU8</f>
        <v>0</v>
      </c>
      <c r="AR8" s="3">
        <f>-($AJ8+$AE8)+($C8*($AJ8+$AE8)+$E8*$AH8)/($C8+$E8)</f>
        <v>-5546.5045038872104</v>
      </c>
      <c r="AS8" s="3">
        <f>-($AJ8+$AE8)+($C8*($AJ8+$AE8)+$E8*$AH8+$E8*$AN8)/($C8+$E8)</f>
        <v>-3200.042967350817</v>
      </c>
      <c r="AT8" s="3">
        <f>-AS8*(E8+C8)/AL8</f>
        <v>480447.83033949859</v>
      </c>
      <c r="AU8" s="3">
        <f>E8/1500+3</f>
        <v>9.2906666666666666</v>
      </c>
      <c r="AV8" s="3">
        <f t="shared" si="4"/>
        <v>51712.955332179095</v>
      </c>
      <c r="AW8" s="3">
        <v>495300</v>
      </c>
      <c r="AX8" s="9">
        <f t="shared" si="1"/>
        <v>1.9700137903078914</v>
      </c>
      <c r="AY8" s="22">
        <f t="shared" si="5"/>
        <v>0.10440733965713526</v>
      </c>
      <c r="AZ8">
        <f>10000000+37500000</f>
        <v>47500000</v>
      </c>
      <c r="BA8" t="s">
        <v>188</v>
      </c>
      <c r="BB8" s="15">
        <f>AD8+Y8+AZ8</f>
        <v>91500000</v>
      </c>
      <c r="BC8" s="15">
        <f>BB8/D8</f>
        <v>5101.4719000892064</v>
      </c>
      <c r="BD8" s="15">
        <f>Z8+AB8+S8*E8/G8+BB8</f>
        <v>125100000</v>
      </c>
      <c r="BE8" s="15">
        <f>BD8/D8</f>
        <v>6974.7992863514719</v>
      </c>
      <c r="BF8" s="15">
        <f>GETPIVOTDATA("הוצאות פיתוח",'עיבוד נתוני מכרזים'!$A$53,"ישוב","ראש העין")</f>
        <v>1027018719</v>
      </c>
      <c r="BG8">
        <f>GETPIVOTDATA("מס' יח""ד",'עיבוד נתוני מכרזים'!$A$29,"ישוב","ראש העין")</f>
        <v>4576</v>
      </c>
      <c r="BH8" s="15">
        <f t="shared" si="6"/>
        <v>224435.90887237762</v>
      </c>
      <c r="BJ8" s="125">
        <f>E8/C8</f>
        <v>0.76503972758229288</v>
      </c>
      <c r="BM8" s="233" t="s">
        <v>107</v>
      </c>
      <c r="BN8" s="237">
        <f>INDEX($A$1:$BH$13,MATCH($BK$3,$A$1:$A$13,0),MATCH($BM8,$A$1:$BH$1,0))</f>
        <v>0</v>
      </c>
    </row>
    <row r="9" spans="1:70" ht="16.5" thickTop="1" thickBot="1">
      <c r="A9" t="s">
        <v>17</v>
      </c>
      <c r="B9">
        <v>244</v>
      </c>
      <c r="C9">
        <v>77688</v>
      </c>
      <c r="D9" s="32">
        <v>18000</v>
      </c>
      <c r="E9" s="32">
        <v>16393</v>
      </c>
      <c r="F9" s="32"/>
      <c r="G9" s="1">
        <f>E9/4</f>
        <v>4098.25</v>
      </c>
      <c r="H9" s="34" t="s">
        <v>226</v>
      </c>
      <c r="I9" s="18">
        <f>1389+'תוכניות בניין עיר'!G53</f>
        <v>1389</v>
      </c>
      <c r="J9" s="18">
        <f>2700+1300+3500</f>
        <v>7500</v>
      </c>
      <c r="K9" s="18">
        <f>1700+2300</f>
        <v>4000</v>
      </c>
      <c r="L9" s="18">
        <f>3500+'תוכניות בניין עיר'!G55</f>
        <v>4406</v>
      </c>
      <c r="M9" s="19"/>
      <c r="N9" s="6"/>
      <c r="O9" s="18"/>
      <c r="P9" s="24"/>
      <c r="Q9" s="6"/>
      <c r="R9" s="5"/>
      <c r="S9" s="3"/>
      <c r="T9" s="1"/>
      <c r="U9" s="1"/>
      <c r="V9" s="1">
        <f>'תוכניות בניין עיר'!H47+'תוכניות בניין עיר'!H49+'תוכניות בניין עיר'!H53</f>
        <v>663196</v>
      </c>
      <c r="W9" s="4"/>
      <c r="X9" s="9"/>
      <c r="Y9" s="3"/>
      <c r="Z9" s="3">
        <f>1343113000-63274000</f>
        <v>1279839000</v>
      </c>
      <c r="AA9" s="21">
        <v>6.5000000000000002E-2</v>
      </c>
      <c r="AB9" s="3">
        <v>302039000</v>
      </c>
      <c r="AC9" s="21">
        <v>5.0000000000000001E-3</v>
      </c>
      <c r="AD9" s="3">
        <f>15152000+63274000</f>
        <v>78426000</v>
      </c>
      <c r="AE9" s="13">
        <v>4807.8338997013698</v>
      </c>
      <c r="AF9" s="13">
        <v>104.55926269179282</v>
      </c>
      <c r="AG9" s="27">
        <f>$AE$22*1.1</f>
        <v>110.00000000000001</v>
      </c>
      <c r="AH9" s="27">
        <f t="shared" si="2"/>
        <v>5058.0093561492067</v>
      </c>
      <c r="AI9" s="13">
        <v>19689.385748120687</v>
      </c>
      <c r="AJ9" s="13">
        <v>9682.5378436824212</v>
      </c>
      <c r="AK9" s="13">
        <v>10593.270517969311</v>
      </c>
      <c r="AL9" s="2">
        <v>217</v>
      </c>
      <c r="AM9" s="28">
        <v>0.28766806901844855</v>
      </c>
      <c r="AN9" s="27">
        <f t="shared" si="3"/>
        <v>4168.4172587787052</v>
      </c>
      <c r="AO9" s="3">
        <f>AJ9*G9</f>
        <v>39681460.71787148</v>
      </c>
      <c r="AP9" s="3">
        <f t="shared" si="7"/>
        <v>7842600</v>
      </c>
      <c r="AQ9" s="3">
        <f>V9/AU9</f>
        <v>47613.746230795005</v>
      </c>
      <c r="AR9" s="3">
        <f>-($AJ9+$AE9)+($C9*($AJ9+$AE9)+$E9*$AH9)/($C9+$E9)</f>
        <v>-1643.5275625677496</v>
      </c>
      <c r="AS9" s="3">
        <f>-($AJ9+$AE9)+($C9*($AJ9+$AE9)+$E9*$AH9+$E9*$AN9)/($C9+$E9)</f>
        <v>-917.20807060699917</v>
      </c>
      <c r="AT9" s="3">
        <f>-AS9*(E9+C9)/AL9</f>
        <v>397658.30640911101</v>
      </c>
      <c r="AU9" s="3">
        <f>E9/1500+3</f>
        <v>13.928666666666667</v>
      </c>
      <c r="AV9" s="3">
        <f t="shared" si="4"/>
        <v>28549.631915649574</v>
      </c>
      <c r="AW9" s="3">
        <v>1943600</v>
      </c>
      <c r="AX9" s="9">
        <f t="shared" si="1"/>
        <v>1.2045988405068488</v>
      </c>
      <c r="AY9" s="22">
        <f t="shared" si="5"/>
        <v>1.4689047085639831E-2</v>
      </c>
      <c r="BA9" t="s">
        <v>218</v>
      </c>
      <c r="BB9" s="15">
        <f>AD9+Y9+AZ9</f>
        <v>78426000</v>
      </c>
      <c r="BC9" s="15">
        <f>BB9/D9</f>
        <v>4357</v>
      </c>
      <c r="BD9" s="15">
        <f>AD9+AB9+Z9</f>
        <v>1660304000</v>
      </c>
      <c r="BE9" s="15">
        <f>BD9/D9</f>
        <v>92239.111111111109</v>
      </c>
      <c r="BF9" s="15">
        <f>GETPIVOTDATA("הוצאות פיתוח",'עיבוד נתוני מכרזים'!$A$53,"ישוב","ראשון לציון")</f>
        <v>618942105</v>
      </c>
      <c r="BG9">
        <f>GETPIVOTDATA("מס' יח""ד",'עיבוד נתוני מכרזים'!$A$29,"ישוב","ראשון לציון")</f>
        <v>4478</v>
      </c>
      <c r="BH9" s="15">
        <f t="shared" si="6"/>
        <v>138218.42451987494</v>
      </c>
      <c r="BJ9" s="125">
        <f>E9/C9</f>
        <v>0.2110107095046854</v>
      </c>
      <c r="BM9" s="233" t="s">
        <v>1075</v>
      </c>
      <c r="BN9" s="237">
        <f>INDEX($A$1:$BH$13,MATCH($BK$3,$A$1:$A$13,0),MATCH($BM9,$A$1:$BH$1,0))</f>
        <v>0</v>
      </c>
    </row>
    <row r="10" spans="1:70" ht="16.5" thickTop="1" thickBot="1">
      <c r="A10" t="s">
        <v>18</v>
      </c>
      <c r="B10">
        <v>73.7</v>
      </c>
      <c r="C10">
        <v>21284</v>
      </c>
      <c r="D10" s="32">
        <v>7500</v>
      </c>
      <c r="E10" s="32">
        <f>SUM('תוכניות בניין עיר'!G57:G65)</f>
        <v>7483</v>
      </c>
      <c r="F10" s="32">
        <v>1400</v>
      </c>
      <c r="G10" s="1">
        <f>E10/3</f>
        <v>2494.3333333333335</v>
      </c>
      <c r="H10" s="34" t="s">
        <v>227</v>
      </c>
      <c r="I10" s="18">
        <v>2000</v>
      </c>
      <c r="J10" s="18">
        <f>('תוכניות בניין עיר'!G57+'תוכניות בניין עיר'!G59-2000+'תוכניות בניין עיר'!G61)+227+'תוכניות בניין עיר'!G60+'תוכניות בניין עיר'!G62</f>
        <v>2922</v>
      </c>
      <c r="K10" s="18">
        <f>'תוכניות בניין עיר'!G65+'תוכניות בניין עיר'!G64+'תוכניות בניין עיר'!G63+661</f>
        <v>2561</v>
      </c>
      <c r="L10" s="18">
        <f>E10-SUM(I10:K10)</f>
        <v>0</v>
      </c>
      <c r="M10" s="19"/>
      <c r="N10" s="6">
        <v>0.3</v>
      </c>
      <c r="O10" s="18"/>
      <c r="P10" s="24"/>
      <c r="Q10" s="6">
        <v>0.1</v>
      </c>
      <c r="R10" s="5"/>
      <c r="S10" s="3"/>
      <c r="T10" s="1"/>
      <c r="U10" s="1"/>
      <c r="V10" s="1">
        <f>'תוכניות בניין עיר'!H57+'תוכניות בניין עיר'!H58+'תוכניות בניין עיר'!H59</f>
        <v>166048</v>
      </c>
      <c r="W10" s="4">
        <f>V10/E10</f>
        <v>22.190030736335693</v>
      </c>
      <c r="X10" s="9">
        <f>V10/(E10*100)</f>
        <v>0.22190030736335695</v>
      </c>
      <c r="Y10" s="3"/>
      <c r="Z10" s="25">
        <f>SUM('תוכניות בניין עיר'!M57:M65)</f>
        <v>557778459</v>
      </c>
      <c r="AA10" s="21">
        <v>6.5000000000000002E-2</v>
      </c>
      <c r="AB10" s="3"/>
      <c r="AC10" s="21">
        <v>5.0000000000000001E-3</v>
      </c>
      <c r="AD10" s="3">
        <f>Z10*AA10+AB10*AC10</f>
        <v>36255599.835000001</v>
      </c>
      <c r="AE10" s="13">
        <v>2979.1862431873706</v>
      </c>
      <c r="AF10" s="13">
        <v>95.752678068032324</v>
      </c>
      <c r="AG10" s="27">
        <f>$AE$22*1.2</f>
        <v>120</v>
      </c>
      <c r="AH10" s="27">
        <f t="shared" si="2"/>
        <v>3733.6015701668298</v>
      </c>
      <c r="AI10" s="13">
        <v>17654.576207479797</v>
      </c>
      <c r="AJ10" s="13">
        <v>9489.569629768841</v>
      </c>
      <c r="AK10" s="13">
        <v>8205.1306145461367</v>
      </c>
      <c r="AL10" s="2">
        <v>150</v>
      </c>
      <c r="AM10" s="28">
        <v>0.30442941387041467</v>
      </c>
      <c r="AN10" s="27">
        <f t="shared" si="3"/>
        <v>3795.8560420973499</v>
      </c>
      <c r="AO10" s="3">
        <f>AJ10*G10</f>
        <v>23670149.846520081</v>
      </c>
      <c r="AP10" s="3">
        <f t="shared" si="7"/>
        <v>3625559.9835000001</v>
      </c>
      <c r="AQ10" s="3">
        <f>V10/AU10</f>
        <v>20785.446048568803</v>
      </c>
      <c r="AR10" s="3">
        <f>-($AJ10+$AE10)+($C10*($AJ10+$AE10)+$E10*$AH10)/($C10+$E10)</f>
        <v>-2272.2271925391233</v>
      </c>
      <c r="AS10" s="3">
        <f>-($AJ10+$AE10)+($C10*($AJ10+$AE10)+$E10*$AH10+$E10*$AN10)/($C10+$E10)</f>
        <v>-1284.8322343226064</v>
      </c>
      <c r="AT10" s="3">
        <f>-AS10*(E10+C10)/AL10</f>
        <v>246405.12589838947</v>
      </c>
      <c r="AU10" s="3">
        <f>E10/1500+3</f>
        <v>7.988666666666667</v>
      </c>
      <c r="AV10" s="3">
        <f t="shared" si="4"/>
        <v>30844.336881213734</v>
      </c>
      <c r="AW10" s="3">
        <v>773000</v>
      </c>
      <c r="AX10" s="9">
        <f t="shared" si="1"/>
        <v>1.3187647165567782</v>
      </c>
      <c r="AY10" s="22">
        <f t="shared" si="5"/>
        <v>3.9902117569487368E-2</v>
      </c>
      <c r="BC10" s="15"/>
      <c r="BD10" s="15">
        <f>Z10+AB10+S10*E10/G10+BB10</f>
        <v>557778459</v>
      </c>
      <c r="BE10" s="15">
        <f>BD10/D10</f>
        <v>74370.461200000005</v>
      </c>
      <c r="BF10" s="15">
        <f>GETPIVOTDATA("הוצאות פיתוח",'עיבוד נתוני מכרזים'!$A$53,"ישוב","רמלה")</f>
        <v>113657187</v>
      </c>
      <c r="BG10">
        <f>GETPIVOTDATA("מס' יח""ד",'עיבוד נתוני מכרזים'!$A$29,"ישוב","רמלה")</f>
        <v>802</v>
      </c>
      <c r="BH10" s="15">
        <f t="shared" si="6"/>
        <v>141717.19077306733</v>
      </c>
      <c r="BJ10" s="125">
        <f>E10/C10</f>
        <v>0.35157865062958088</v>
      </c>
      <c r="BM10" s="233" t="s">
        <v>1073</v>
      </c>
      <c r="BN10" s="237">
        <f>INDEX($A$1:$BH$13,MATCH($BK$3,$A$1:$A$13,0),MATCH($BM10,$A$1:$BH$1,0))</f>
        <v>1027018719</v>
      </c>
    </row>
    <row r="11" spans="1:70" ht="16.5" thickTop="1" thickBot="1">
      <c r="A11" t="s">
        <v>19</v>
      </c>
      <c r="B11">
        <v>207.9</v>
      </c>
      <c r="C11">
        <v>72542</v>
      </c>
      <c r="D11" s="32">
        <v>12288</v>
      </c>
      <c r="E11" s="32">
        <f>D11</f>
        <v>12288</v>
      </c>
      <c r="F11" s="5"/>
      <c r="G11" s="1">
        <v>2000</v>
      </c>
      <c r="H11" s="34" t="s">
        <v>231</v>
      </c>
      <c r="I11" s="18">
        <v>2000</v>
      </c>
      <c r="J11" s="18">
        <v>2000</v>
      </c>
      <c r="K11" s="18">
        <v>2000</v>
      </c>
      <c r="L11" s="18">
        <v>2000</v>
      </c>
      <c r="M11" s="19">
        <f>D11-SUM(I11:L11)</f>
        <v>4288</v>
      </c>
      <c r="N11" s="6">
        <v>0.3</v>
      </c>
      <c r="O11" s="18"/>
      <c r="P11" s="24"/>
      <c r="Q11" s="6">
        <v>0.1</v>
      </c>
      <c r="R11" s="5"/>
      <c r="S11" s="3"/>
      <c r="T11" s="1">
        <f>3000</f>
        <v>3000</v>
      </c>
      <c r="U11" s="1">
        <v>18000</v>
      </c>
      <c r="V11" s="1">
        <f>SUM('תוכניות בניין עיר'!H66:H79)</f>
        <v>1778707</v>
      </c>
      <c r="W11" s="4">
        <f>V11/E11</f>
        <v>144.75154622395834</v>
      </c>
      <c r="X11" s="9">
        <f>V11/(E11*100)</f>
        <v>1.4475154622395834</v>
      </c>
      <c r="Y11" s="3">
        <f>3000*D11</f>
        <v>36864000</v>
      </c>
      <c r="Z11" s="25">
        <f>451994314+28961072*E11/1000</f>
        <v>807867966.73600006</v>
      </c>
      <c r="AA11" s="21">
        <v>0.14000000000000001</v>
      </c>
      <c r="AB11" s="3"/>
      <c r="AC11" s="21">
        <v>5.0000000000000001E-3</v>
      </c>
      <c r="AD11" s="3">
        <f>Z11*AA11+AB11*AC11</f>
        <v>113101515.34304002</v>
      </c>
      <c r="AE11" s="13">
        <v>4523.7104022497306</v>
      </c>
      <c r="AF11" s="13">
        <v>97.692371315927332</v>
      </c>
      <c r="AG11" s="27">
        <f>$AE$22*1.2</f>
        <v>120</v>
      </c>
      <c r="AH11" s="27">
        <f t="shared" si="2"/>
        <v>5556.6800248349027</v>
      </c>
      <c r="AI11" s="13">
        <v>14199.443081249483</v>
      </c>
      <c r="AJ11" s="13">
        <v>8458.1208127705322</v>
      </c>
      <c r="AK11" s="13">
        <v>5239.0063687243264</v>
      </c>
      <c r="AL11" s="2">
        <v>165</v>
      </c>
      <c r="AM11" s="28">
        <v>0.3440579445444969</v>
      </c>
      <c r="AN11" s="27">
        <f t="shared" si="3"/>
        <v>4466.5021642634601</v>
      </c>
      <c r="AO11" s="3">
        <f>AJ11*G11</f>
        <v>16916241.625541065</v>
      </c>
      <c r="AP11" s="3">
        <f t="shared" si="7"/>
        <v>11310151.534304002</v>
      </c>
      <c r="AQ11" s="3">
        <f>V11/AU11</f>
        <v>158926.64403145103</v>
      </c>
      <c r="AR11" s="3">
        <f>-($AJ11+$AE11)+($C11*($AJ11+$AE11)+$E11*$AH11)/($C11+$E11)</f>
        <v>-1075.5659298007504</v>
      </c>
      <c r="AS11" s="3">
        <f>-($AJ11+$AE11)+($C11*($AJ11+$AE11)+$E11*$AH11+$E11*$AN11)/($C11+$E11)</f>
        <v>-428.5733729874828</v>
      </c>
      <c r="AT11" s="3">
        <f>-AS11*(E11+C11)/AL11</f>
        <v>220338.66200320103</v>
      </c>
      <c r="AU11" s="3">
        <f>E11/1500+3</f>
        <v>11.192</v>
      </c>
      <c r="AV11" s="3">
        <f t="shared" si="4"/>
        <v>19687.157076769214</v>
      </c>
      <c r="AW11" s="3">
        <v>1638900</v>
      </c>
      <c r="AX11" s="9">
        <f t="shared" si="1"/>
        <v>1.134443017879798</v>
      </c>
      <c r="AY11" s="22">
        <f t="shared" si="5"/>
        <v>1.2012421182969805E-2</v>
      </c>
      <c r="BB11" s="15">
        <f>AD11+Y11+AZ11</f>
        <v>149965515.34304002</v>
      </c>
      <c r="BC11" s="15">
        <f>BB11/D11</f>
        <v>12204.224881432294</v>
      </c>
      <c r="BD11" s="15">
        <f>Z11+AB11+S11*E11/G11+BB11</f>
        <v>957833482.07904005</v>
      </c>
      <c r="BE11" s="15">
        <f>BD11/D11</f>
        <v>77948.688320234374</v>
      </c>
      <c r="BF11" s="15">
        <f>GETPIVOTDATA("הוצאות פיתוח",'עיבוד נתוני מכרזים'!$A$53,"ישוב","נתניה")</f>
        <v>61098745</v>
      </c>
      <c r="BG11">
        <f>GETPIVOTDATA("מס' יח""ד",'עיבוד נתוני מכרזים'!$A$29,"ישוב","נתניה")</f>
        <v>406</v>
      </c>
      <c r="BH11" s="15">
        <f t="shared" si="6"/>
        <v>150489.51970443351</v>
      </c>
      <c r="BJ11" s="125">
        <f>E11/C11</f>
        <v>0.16939152490970749</v>
      </c>
      <c r="BM11" s="233" t="s">
        <v>1077</v>
      </c>
      <c r="BN11" s="236">
        <f>INDEX($A$1:$BH$13,MATCH($BK$3,$A$1:$A$13,0),MATCH($BM11,$A$1:$BH$1,0))</f>
        <v>4576</v>
      </c>
    </row>
    <row r="12" spans="1:70" ht="16.5" thickTop="1" thickBot="1">
      <c r="A12" s="122" t="s">
        <v>147</v>
      </c>
      <c r="B12" s="122">
        <v>42.3</v>
      </c>
      <c r="C12">
        <v>12650</v>
      </c>
      <c r="D12" s="32">
        <v>12699</v>
      </c>
      <c r="E12" s="32">
        <f t="shared" ref="E12:E13" si="8">D12</f>
        <v>12699</v>
      </c>
      <c r="F12" s="5"/>
      <c r="G12" s="1">
        <v>2000</v>
      </c>
      <c r="H12" s="34" t="s">
        <v>232</v>
      </c>
      <c r="I12" s="18">
        <v>2000</v>
      </c>
      <c r="J12" s="18">
        <v>2000</v>
      </c>
      <c r="K12" s="18">
        <v>2000</v>
      </c>
      <c r="L12" s="18">
        <v>2000</v>
      </c>
      <c r="M12" s="19">
        <f>E12-I12-J12-K12-L12</f>
        <v>4699</v>
      </c>
      <c r="N12" s="14">
        <v>0.3</v>
      </c>
      <c r="Q12" s="138">
        <v>0.1</v>
      </c>
      <c r="S12" s="3">
        <v>6000000</v>
      </c>
      <c r="V12" s="1">
        <f>SUM('תוכניות בניין עיר'!H85:H88)</f>
        <v>331450</v>
      </c>
      <c r="W12" s="4">
        <f>V12/E12</f>
        <v>26.100480352783684</v>
      </c>
      <c r="X12" s="9">
        <f>V12/(E12*100)</f>
        <v>0.26100480352783684</v>
      </c>
      <c r="Z12" s="25">
        <f>1521945121*(1/1.075)</f>
        <v>1415762903.2558138</v>
      </c>
      <c r="AA12" s="21">
        <v>7.4999999999999997E-2</v>
      </c>
      <c r="AC12" s="21">
        <v>5.0000000000000001E-3</v>
      </c>
      <c r="AD12" s="3">
        <f>Z12*AA12+AB12*AC12</f>
        <v>106182217.74418603</v>
      </c>
      <c r="AE12" s="13">
        <v>4904.426877470356</v>
      </c>
      <c r="AF12" s="13">
        <v>122.96442687747036</v>
      </c>
      <c r="AG12" s="27">
        <f>$AE$22*1.2</f>
        <v>120</v>
      </c>
      <c r="AH12" s="27">
        <f t="shared" si="2"/>
        <v>4786.1909353905503</v>
      </c>
      <c r="AI12" s="13">
        <v>16820.395256916996</v>
      </c>
      <c r="AJ12" s="13">
        <v>9702.213438735178</v>
      </c>
      <c r="AK12" s="13">
        <v>6819.367588932806</v>
      </c>
      <c r="AL12" s="2">
        <v>110</v>
      </c>
      <c r="AM12" s="28">
        <v>0.18099949127041681</v>
      </c>
      <c r="AN12" s="27">
        <f t="shared" si="3"/>
        <v>2643.794466403162</v>
      </c>
      <c r="AO12" s="3">
        <f>AJ12*G12</f>
        <v>19404426.877470355</v>
      </c>
      <c r="AP12" s="3">
        <f>AD12/10</f>
        <v>10618221.774418604</v>
      </c>
      <c r="AQ12" s="3">
        <f>V12/AU12</f>
        <v>28907.203907203908</v>
      </c>
      <c r="AR12" s="3">
        <f>-($AJ12+$AE12)+($C12*($AJ12+$AE12)+$E12*$AH12)/($C12+$E12)</f>
        <v>-4919.7162289230146</v>
      </c>
      <c r="AS12" s="3">
        <f>-($AJ12+$AE12)+($C12*($AJ12+$AE12)+$E12*$AH12+$E12*$AN12)/($C12+$E12)</f>
        <v>-3595.2637483970066</v>
      </c>
      <c r="AT12" s="3">
        <f>-AS12*(E12+C12)/AL12</f>
        <v>828512.18871014297</v>
      </c>
      <c r="AU12" s="3">
        <f>E12/1500+3</f>
        <v>11.465999999999999</v>
      </c>
      <c r="AV12" s="3">
        <f t="shared" si="4"/>
        <v>72258.171002105621</v>
      </c>
      <c r="AW12" s="3">
        <v>712700</v>
      </c>
      <c r="AX12" s="9">
        <f t="shared" si="1"/>
        <v>2.1624978093309148</v>
      </c>
      <c r="AY12" s="22">
        <f t="shared" si="5"/>
        <v>0.10138651747173512</v>
      </c>
      <c r="BB12" s="15">
        <f>AD12+Y12+AZ12</f>
        <v>106182217.74418603</v>
      </c>
      <c r="BC12" s="15">
        <f>BB12/D12</f>
        <v>8361.4629296941512</v>
      </c>
      <c r="BD12" s="15">
        <f>Z12+AB12+S12*E12/G12+BB12</f>
        <v>1560042120.9999998</v>
      </c>
      <c r="BE12" s="15">
        <f>BD12/D12</f>
        <v>122847.63532561617</v>
      </c>
      <c r="BF12" s="15">
        <f>GETPIVOTDATA("הוצאות פיתוח",'עיבוד נתוני מכרזים'!$A$53,"ישוב","יבנה")</f>
        <v>532407632</v>
      </c>
      <c r="BG12">
        <f>GETPIVOTDATA("מס' יח""ד",'עיבוד נתוני מכרזים'!$A$29,"ישוב","יבנה")</f>
        <v>2035</v>
      </c>
      <c r="BH12" s="15">
        <f t="shared" si="6"/>
        <v>261625.37199017199</v>
      </c>
      <c r="BJ12" s="125">
        <f>E12/C12</f>
        <v>1.0038735177865612</v>
      </c>
    </row>
    <row r="13" spans="1:70" ht="31.5" thickTop="1" thickBot="1">
      <c r="A13" t="s">
        <v>146</v>
      </c>
      <c r="B13">
        <v>19.399999999999999</v>
      </c>
      <c r="C13">
        <v>7136</v>
      </c>
      <c r="D13" s="32">
        <v>10160</v>
      </c>
      <c r="E13" s="32">
        <f t="shared" si="8"/>
        <v>10160</v>
      </c>
      <c r="F13" s="5">
        <v>2407</v>
      </c>
      <c r="G13" s="1">
        <v>2000</v>
      </c>
      <c r="H13" s="34" t="s">
        <v>233</v>
      </c>
      <c r="I13" s="18">
        <v>2232</v>
      </c>
      <c r="J13" s="18">
        <v>1651</v>
      </c>
      <c r="K13" s="18">
        <v>2500</v>
      </c>
      <c r="L13" s="18">
        <v>2000</v>
      </c>
      <c r="M13" s="19">
        <f>D13-SUM(I13:L13)</f>
        <v>1777</v>
      </c>
      <c r="N13" s="6"/>
      <c r="O13" s="18"/>
      <c r="P13" s="24"/>
      <c r="Q13" s="6"/>
      <c r="R13" s="5"/>
      <c r="S13" s="3"/>
      <c r="T13" s="1"/>
      <c r="U13" s="1"/>
      <c r="V13" s="1">
        <f>SUM('תוכניות בניין עיר'!H80:H84)</f>
        <v>228120</v>
      </c>
      <c r="W13" s="4">
        <f>V13/E13</f>
        <v>22.452755905511811</v>
      </c>
      <c r="X13" s="9">
        <f>V13/(E13*100)</f>
        <v>0.22452755905511812</v>
      </c>
      <c r="Y13" s="3">
        <v>101931615</v>
      </c>
      <c r="Z13" s="25">
        <f>20396*5000+1777*13094+92519774</f>
        <v>217767812</v>
      </c>
      <c r="AA13" s="21">
        <v>7.4999999999999997E-2</v>
      </c>
      <c r="AB13" s="3"/>
      <c r="AC13" s="21">
        <v>1.4999999999999999E-2</v>
      </c>
      <c r="AD13" s="3">
        <f>Z13*AA13+AB13*AC13</f>
        <v>16332585.899999999</v>
      </c>
      <c r="AE13" s="13">
        <v>2037.8363228699552</v>
      </c>
      <c r="AF13" s="13">
        <v>84.403026905829577</v>
      </c>
      <c r="AG13" s="27">
        <f>$AE$22*1.2</f>
        <v>120</v>
      </c>
      <c r="AH13" s="27">
        <f t="shared" si="2"/>
        <v>2897.2937074547572</v>
      </c>
      <c r="AI13" s="13">
        <v>26187.359865470851</v>
      </c>
      <c r="AJ13" s="13">
        <v>16187.079596412559</v>
      </c>
      <c r="AK13" s="13">
        <v>11112.668161434978</v>
      </c>
      <c r="AL13" s="2">
        <v>130</v>
      </c>
      <c r="AM13" s="28">
        <v>0.271966044612581</v>
      </c>
      <c r="AN13" s="27">
        <f t="shared" si="3"/>
        <v>4956.558295964126</v>
      </c>
      <c r="AO13" s="3">
        <f>AJ13*G13</f>
        <v>32374159.19282512</v>
      </c>
      <c r="AP13" s="3">
        <f>AD13/10</f>
        <v>1633258.5899999999</v>
      </c>
      <c r="AQ13" s="3">
        <f>V13/AU13</f>
        <v>23341.064120054569</v>
      </c>
      <c r="AR13" s="3">
        <f>-($AJ13+$AE13)+($C13*($AJ13+$AE13)+$E13*$AH13)/($C13+$E13)</f>
        <v>-9003.7373769756014</v>
      </c>
      <c r="AS13" s="3">
        <f>-($AJ13+$AE13)+($C13*($AJ13+$AE13)+$E13*$AH13+$E13*$AN13)/($C13+$E13)</f>
        <v>-6092.1605796238709</v>
      </c>
      <c r="AT13" s="3">
        <f>-AS13*(E13+C13)/AL13</f>
        <v>810538.53373211133</v>
      </c>
      <c r="AU13" s="3">
        <f>E13/1500+3</f>
        <v>9.7733333333333334</v>
      </c>
      <c r="AV13" s="3">
        <f t="shared" si="4"/>
        <v>82933.683533299249</v>
      </c>
      <c r="AW13" s="3">
        <v>259200</v>
      </c>
      <c r="AX13" s="9">
        <f t="shared" si="1"/>
        <v>4.127077676435615</v>
      </c>
      <c r="AY13" s="22">
        <f t="shared" si="5"/>
        <v>0.31996019881674093</v>
      </c>
      <c r="AZ13" s="15">
        <f>1693*E13</f>
        <v>17200880</v>
      </c>
      <c r="BA13" t="s">
        <v>883</v>
      </c>
      <c r="BC13" s="15"/>
      <c r="BD13" s="15">
        <f>Z13+AB13+S13*E13/G13+BB13</f>
        <v>217767812</v>
      </c>
      <c r="BE13" s="15">
        <f>BD13/D13</f>
        <v>21433.839763779528</v>
      </c>
      <c r="BF13" s="15">
        <f>GETPIVOTDATA("הוצאות פיתוח",'עיבוד נתוני מכרזים'!$A$53,"ישוב","טירת הכרמל")</f>
        <v>367740603</v>
      </c>
      <c r="BG13">
        <f>GETPIVOTDATA("מס' יח""ד",'עיבוד נתוני מכרזים'!$A$29,"ישוב","טירת הכרמל")</f>
        <v>2583</v>
      </c>
      <c r="BH13" s="15">
        <f t="shared" si="6"/>
        <v>142369.57142857142</v>
      </c>
      <c r="BJ13" s="125">
        <f>E13/C13</f>
        <v>1.4237668161434978</v>
      </c>
    </row>
    <row r="14" spans="1:70" ht="15.75" thickTop="1">
      <c r="E14" s="15">
        <f>SUMIF(BD2:BD13,"&gt;0",E2:E13)</f>
        <v>128941</v>
      </c>
      <c r="AE14" s="13"/>
      <c r="AF14" s="13"/>
      <c r="BD14" s="15">
        <f>SUM(BD2:BD13)</f>
        <v>10835870339.178926</v>
      </c>
      <c r="BE14" s="15">
        <f>BD14/E14</f>
        <v>84037.430601429543</v>
      </c>
    </row>
    <row r="15" spans="1:70">
      <c r="AE15" s="13"/>
      <c r="AF15" s="13"/>
    </row>
    <row r="16" spans="1:70">
      <c r="C16" t="s">
        <v>852</v>
      </c>
      <c r="D16" t="s">
        <v>853</v>
      </c>
      <c r="AE16" s="13"/>
      <c r="AF16" s="13"/>
    </row>
    <row r="17" spans="1:32">
      <c r="C17">
        <v>1238</v>
      </c>
      <c r="D17" t="s">
        <v>95</v>
      </c>
      <c r="E17" t="s">
        <v>885</v>
      </c>
      <c r="AE17" s="13"/>
      <c r="AF17" s="13"/>
    </row>
    <row r="18" spans="1:32">
      <c r="C18">
        <v>1413</v>
      </c>
      <c r="D18" t="s">
        <v>95</v>
      </c>
      <c r="E18" t="s">
        <v>886</v>
      </c>
      <c r="AE18" s="13"/>
      <c r="AF18" s="13"/>
    </row>
    <row r="19" spans="1:32">
      <c r="C19">
        <v>1416</v>
      </c>
      <c r="D19" t="s">
        <v>854</v>
      </c>
      <c r="E19" s="127" t="s">
        <v>887</v>
      </c>
      <c r="F19" s="127" t="s">
        <v>888</v>
      </c>
      <c r="AE19" s="13"/>
      <c r="AF19" s="13"/>
    </row>
    <row r="20" spans="1:32">
      <c r="C20">
        <v>1439</v>
      </c>
      <c r="D20" t="s">
        <v>867</v>
      </c>
      <c r="E20" s="127" t="s">
        <v>889</v>
      </c>
      <c r="AE20" s="13"/>
      <c r="AF20" s="13"/>
    </row>
    <row r="21" spans="1:32">
      <c r="C21">
        <v>1442</v>
      </c>
      <c r="D21" t="s">
        <v>868</v>
      </c>
      <c r="E21" t="s">
        <v>890</v>
      </c>
    </row>
    <row r="22" spans="1:32">
      <c r="C22" s="126">
        <v>1436</v>
      </c>
      <c r="D22" t="s">
        <v>869</v>
      </c>
      <c r="AD22" t="s">
        <v>168</v>
      </c>
      <c r="AE22" s="13">
        <v>100</v>
      </c>
    </row>
    <row r="23" spans="1:32">
      <c r="C23" s="126">
        <v>1444</v>
      </c>
      <c r="D23" t="s">
        <v>870</v>
      </c>
    </row>
    <row r="31" spans="1:32" ht="75">
      <c r="A31" s="33" t="s">
        <v>0</v>
      </c>
      <c r="B31" s="33" t="s">
        <v>171</v>
      </c>
      <c r="C31" s="33" t="s">
        <v>219</v>
      </c>
      <c r="D31" s="33" t="s">
        <v>4</v>
      </c>
      <c r="E31" s="33">
        <v>2013</v>
      </c>
      <c r="F31" s="33">
        <v>2014</v>
      </c>
      <c r="G31" s="33">
        <v>2015</v>
      </c>
      <c r="H31" s="33">
        <v>2016</v>
      </c>
      <c r="I31" s="33">
        <v>2017</v>
      </c>
      <c r="J31" s="33">
        <v>2018</v>
      </c>
      <c r="K31" s="33">
        <v>2019</v>
      </c>
      <c r="L31" s="33">
        <v>2020</v>
      </c>
      <c r="M31" s="184" t="s">
        <v>1063</v>
      </c>
      <c r="N31" s="33" t="s">
        <v>1</v>
      </c>
      <c r="O31" s="33" t="s">
        <v>2</v>
      </c>
      <c r="P31" s="33" t="s">
        <v>20</v>
      </c>
      <c r="Q31" s="33" t="s">
        <v>3</v>
      </c>
    </row>
    <row r="32" spans="1:32">
      <c r="A32" s="7" t="s">
        <v>36</v>
      </c>
      <c r="B32" s="7">
        <v>36.200000000000003</v>
      </c>
      <c r="C32">
        <v>10535</v>
      </c>
      <c r="D32" s="32" t="e">
        <f>VLOOKUP(A32,$A$2:$H$13,8,FALSE)</f>
        <v>#N/A</v>
      </c>
      <c r="G32" s="185"/>
      <c r="H32" s="185"/>
      <c r="I32" s="185"/>
      <c r="J32" s="185"/>
      <c r="K32" s="185"/>
      <c r="L32" s="185"/>
      <c r="M32" s="187"/>
      <c r="N32" s="32">
        <f>D2</f>
        <v>31791</v>
      </c>
      <c r="O32" s="32">
        <f>E2</f>
        <v>18191</v>
      </c>
      <c r="P32" s="32">
        <f>F2</f>
        <v>13600</v>
      </c>
      <c r="Q32" s="32">
        <f>G2</f>
        <v>2000</v>
      </c>
    </row>
    <row r="33" spans="1:17">
      <c r="A33" s="7" t="s">
        <v>37</v>
      </c>
      <c r="B33" s="7">
        <v>49.7</v>
      </c>
      <c r="C33">
        <v>18323</v>
      </c>
      <c r="D33" s="32" t="e">
        <f>VLOOKUP(A33,$A$2:$H$13,8,FALSE)</f>
        <v>#N/A</v>
      </c>
      <c r="F33" s="185"/>
      <c r="G33" s="185"/>
      <c r="H33" s="185"/>
      <c r="I33" s="185"/>
      <c r="J33" s="185"/>
      <c r="N33" s="32">
        <f>D3</f>
        <v>19290</v>
      </c>
      <c r="O33" s="32">
        <f>E3</f>
        <v>18140</v>
      </c>
      <c r="P33" s="32">
        <f>F3</f>
        <v>1150</v>
      </c>
      <c r="Q33" s="32">
        <f>G3</f>
        <v>3215</v>
      </c>
    </row>
    <row r="34" spans="1:17">
      <c r="A34" t="s">
        <v>10</v>
      </c>
      <c r="B34">
        <v>130.69999999999999</v>
      </c>
      <c r="C34">
        <v>45151</v>
      </c>
      <c r="D34" s="32" t="str">
        <f>VLOOKUP(A34,$A$2:$H$13,8,FALSE)</f>
        <v>אוקטובר 2015</v>
      </c>
      <c r="F34" s="185"/>
      <c r="G34" s="18">
        <v>2000</v>
      </c>
      <c r="H34" s="18">
        <v>2000</v>
      </c>
      <c r="I34" s="18">
        <v>2000</v>
      </c>
      <c r="J34" s="18">
        <v>2000</v>
      </c>
      <c r="K34" s="24">
        <v>2000</v>
      </c>
      <c r="L34" s="24">
        <v>2000</v>
      </c>
      <c r="M34" s="137">
        <f>O34-G34-H34-I34-J34-K34-L34</f>
        <v>-7427</v>
      </c>
      <c r="N34" s="32">
        <f>D4</f>
        <v>7300</v>
      </c>
      <c r="O34" s="32">
        <f>E4</f>
        <v>4573</v>
      </c>
      <c r="P34" s="32">
        <f>F4</f>
        <v>2865</v>
      </c>
      <c r="Q34" s="32">
        <f>G4</f>
        <v>914.6</v>
      </c>
    </row>
    <row r="35" spans="1:17">
      <c r="A35" t="s">
        <v>11</v>
      </c>
      <c r="B35">
        <v>203.6</v>
      </c>
      <c r="C35">
        <v>74581</v>
      </c>
      <c r="D35" s="32" t="str">
        <f>VLOOKUP(A35,$A$2:$H$13,8,FALSE)</f>
        <v>אוקטובר 2015 (תקף ליח"ד ששווקו ב-2014)</v>
      </c>
      <c r="F35" s="24">
        <v>6202</v>
      </c>
      <c r="G35" s="24">
        <v>3711</v>
      </c>
      <c r="H35" s="18">
        <v>4136</v>
      </c>
      <c r="I35" s="18">
        <f>4088/2</f>
        <v>2044</v>
      </c>
      <c r="J35" s="18" t="e">
        <f>N35-SUM(F35:I35)</f>
        <v>#REF!</v>
      </c>
      <c r="K35" s="185"/>
      <c r="L35" s="185"/>
      <c r="N35" s="32" t="e">
        <f>#REF!</f>
        <v>#REF!</v>
      </c>
      <c r="O35" s="32" t="e">
        <f>#REF!</f>
        <v>#REF!</v>
      </c>
      <c r="P35" s="32" t="e">
        <f>#REF!</f>
        <v>#REF!</v>
      </c>
      <c r="Q35" s="32" t="e">
        <f>#REF!</f>
        <v>#REF!</v>
      </c>
    </row>
    <row r="36" spans="1:17">
      <c r="A36" s="122" t="s">
        <v>35</v>
      </c>
      <c r="B36" s="122">
        <v>103.9</v>
      </c>
      <c r="C36">
        <v>20700</v>
      </c>
      <c r="D36" s="32" t="e">
        <f>VLOOKUP(A36,$A$2:$H$13,8,FALSE)</f>
        <v>#N/A</v>
      </c>
      <c r="F36" s="185"/>
      <c r="G36" s="185"/>
      <c r="H36" s="185"/>
      <c r="I36" s="18">
        <f>5387+627</f>
        <v>6014</v>
      </c>
      <c r="J36" s="24">
        <v>940</v>
      </c>
      <c r="K36" s="24">
        <v>946</v>
      </c>
      <c r="L36" s="24">
        <v>2214</v>
      </c>
      <c r="M36" s="137">
        <f>N36-SUM(I36:L36)</f>
        <v>1570</v>
      </c>
      <c r="N36" s="32">
        <f>D5</f>
        <v>11684</v>
      </c>
      <c r="O36" s="32">
        <f>E5</f>
        <v>11684</v>
      </c>
      <c r="P36" s="32">
        <f>F5</f>
        <v>0</v>
      </c>
      <c r="Q36" s="32">
        <f>G5</f>
        <v>3894.6666666666665</v>
      </c>
    </row>
    <row r="37" spans="1:17">
      <c r="A37" t="s">
        <v>13</v>
      </c>
      <c r="B37">
        <v>91.9</v>
      </c>
      <c r="C37">
        <v>34475</v>
      </c>
      <c r="D37" s="32" t="e">
        <f>VLOOKUP(A37,$A$2:$H$13,8,FALSE)</f>
        <v>#N/A</v>
      </c>
      <c r="H37" s="18">
        <v>2000</v>
      </c>
      <c r="I37" s="18">
        <v>2000</v>
      </c>
      <c r="J37" s="18">
        <v>2000</v>
      </c>
      <c r="K37" s="18">
        <v>1400</v>
      </c>
      <c r="L37" s="18">
        <f>N37-SUM(H37:K37)</f>
        <v>5736</v>
      </c>
      <c r="M37" s="187"/>
      <c r="N37" s="32">
        <f>D6</f>
        <v>13136</v>
      </c>
      <c r="O37" s="32">
        <f>E6</f>
        <v>13136</v>
      </c>
      <c r="P37" s="32">
        <f>F6</f>
        <v>0</v>
      </c>
      <c r="Q37" s="32">
        <f>G6</f>
        <v>2000</v>
      </c>
    </row>
    <row r="38" spans="1:17">
      <c r="A38" t="s">
        <v>146</v>
      </c>
      <c r="B38">
        <v>19.399999999999999</v>
      </c>
      <c r="C38">
        <v>7136</v>
      </c>
      <c r="D38" s="32" t="str">
        <f>VLOOKUP(A38,$A$2:$H$13,8,FALSE)</f>
        <v>ספטמבר 2016 (תקף ליחידות ששווקו ב-2015)</v>
      </c>
      <c r="F38" s="185"/>
      <c r="G38" s="18">
        <v>2232</v>
      </c>
      <c r="H38" s="18">
        <v>1651</v>
      </c>
      <c r="I38" s="18">
        <v>2500</v>
      </c>
      <c r="J38" s="24">
        <v>2000</v>
      </c>
      <c r="K38" s="24">
        <f>N38-SUM(G38:J38)</f>
        <v>-1941</v>
      </c>
      <c r="N38" s="32">
        <f>D7</f>
        <v>6442</v>
      </c>
      <c r="O38" s="32">
        <f>E7</f>
        <v>6442</v>
      </c>
      <c r="P38" s="32">
        <f>F7</f>
        <v>712</v>
      </c>
      <c r="Q38" s="32">
        <f>G7</f>
        <v>2147.3333333333335</v>
      </c>
    </row>
    <row r="39" spans="1:17">
      <c r="A39" s="7" t="s">
        <v>38</v>
      </c>
      <c r="B39" s="7">
        <v>32.4</v>
      </c>
      <c r="C39">
        <v>7057</v>
      </c>
      <c r="D39" s="32" t="e">
        <f>VLOOKUP(A39,$A$2:$H$13,8,FALSE)</f>
        <v>#N/A</v>
      </c>
      <c r="F39" s="185"/>
      <c r="G39" s="185"/>
      <c r="H39" s="185"/>
      <c r="I39" s="185"/>
      <c r="N39" s="32">
        <f>D8</f>
        <v>17936</v>
      </c>
      <c r="O39" s="32">
        <f>E8</f>
        <v>9436</v>
      </c>
      <c r="P39" s="32">
        <f>F8</f>
        <v>8500</v>
      </c>
      <c r="Q39" s="32">
        <f>G8</f>
        <v>2359</v>
      </c>
    </row>
    <row r="40" spans="1:17">
      <c r="A40" s="122" t="s">
        <v>147</v>
      </c>
      <c r="B40" s="122">
        <v>42.3</v>
      </c>
      <c r="C40">
        <v>12650</v>
      </c>
      <c r="D40" s="32" t="str">
        <f>VLOOKUP(A40,$A$2:$H$13,8,FALSE)</f>
        <v>אוגוסט 2016</v>
      </c>
      <c r="F40" s="185"/>
      <c r="G40" s="185"/>
      <c r="H40" s="18">
        <v>2000</v>
      </c>
      <c r="I40" s="18">
        <v>2000</v>
      </c>
      <c r="J40" s="24">
        <v>2000</v>
      </c>
      <c r="K40" s="24">
        <v>2000</v>
      </c>
      <c r="L40" s="24">
        <v>2000</v>
      </c>
      <c r="M40" s="137">
        <f>O40-H40-I40-J40-K40-L40</f>
        <v>6393</v>
      </c>
      <c r="N40" s="32">
        <f>D9</f>
        <v>18000</v>
      </c>
      <c r="O40" s="32">
        <f>E9</f>
        <v>16393</v>
      </c>
      <c r="P40" s="32">
        <f>F9</f>
        <v>0</v>
      </c>
      <c r="Q40" s="32">
        <f>G9</f>
        <v>4098.25</v>
      </c>
    </row>
    <row r="41" spans="1:17">
      <c r="A41" s="122" t="s">
        <v>897</v>
      </c>
      <c r="B41" s="122"/>
      <c r="C41">
        <v>20000</v>
      </c>
      <c r="D41" s="32" t="e">
        <f>VLOOKUP(A41,$A$2:$H$13,8,FALSE)</f>
        <v>#N/A</v>
      </c>
      <c r="E41" s="24"/>
      <c r="F41" s="24"/>
      <c r="G41" s="18"/>
      <c r="H41" s="18"/>
      <c r="I41" s="186"/>
      <c r="N41" s="32">
        <f>D10</f>
        <v>7500</v>
      </c>
      <c r="O41" s="32">
        <f>E10</f>
        <v>7483</v>
      </c>
      <c r="P41" s="32">
        <f>F10</f>
        <v>1400</v>
      </c>
      <c r="Q41" s="32">
        <f>G10</f>
        <v>2494.3333333333335</v>
      </c>
    </row>
    <row r="42" spans="1:17">
      <c r="A42" s="30" t="s">
        <v>34</v>
      </c>
      <c r="B42" s="8">
        <v>88.7</v>
      </c>
      <c r="C42">
        <v>23028</v>
      </c>
      <c r="D42" s="32" t="str">
        <f>VLOOKUP(A42,$A$2:$H$13,8,FALSE)</f>
        <v>ינואר 2014</v>
      </c>
      <c r="F42" s="24">
        <f>'תוכניות בניין עיר'!G71+'תוכניות בניין עיר'!G72</f>
        <v>1440</v>
      </c>
      <c r="G42" s="24">
        <f>'תוכניות בניין עיר'!G73</f>
        <v>900</v>
      </c>
      <c r="H42" s="18">
        <f>'תוכניות בניין עיר'!G74</f>
        <v>4000</v>
      </c>
      <c r="I42" s="18">
        <v>0</v>
      </c>
      <c r="J42" s="185"/>
      <c r="K42" s="185"/>
      <c r="L42" s="185"/>
      <c r="M42" s="187"/>
      <c r="N42" s="32">
        <f>D11</f>
        <v>12288</v>
      </c>
      <c r="O42" s="32">
        <f>E11</f>
        <v>12288</v>
      </c>
      <c r="P42" s="32">
        <f>F11</f>
        <v>0</v>
      </c>
      <c r="Q42" s="32">
        <f>G11</f>
        <v>2000</v>
      </c>
    </row>
    <row r="43" spans="1:17">
      <c r="A43" s="7" t="s">
        <v>235</v>
      </c>
      <c r="B43" s="7">
        <v>21.2</v>
      </c>
      <c r="C43" s="11">
        <v>6724</v>
      </c>
      <c r="D43" s="32" t="e">
        <f>VLOOKUP(A43,$A$2:$H$13,8,FALSE)</f>
        <v>#N/A</v>
      </c>
      <c r="I43" s="185"/>
      <c r="J43" s="185"/>
      <c r="K43" s="185"/>
      <c r="L43" s="185"/>
      <c r="M43" s="187"/>
      <c r="N43" s="32" t="e">
        <f>#REF!</f>
        <v>#REF!</v>
      </c>
      <c r="O43" s="32" t="e">
        <f>#REF!</f>
        <v>#REF!</v>
      </c>
      <c r="P43" s="32" t="e">
        <f>#REF!</f>
        <v>#REF!</v>
      </c>
      <c r="Q43" s="32" t="e">
        <f>#REF!</f>
        <v>#REF!</v>
      </c>
    </row>
    <row r="44" spans="1:17">
      <c r="A44" t="s">
        <v>19</v>
      </c>
      <c r="B44">
        <v>207.9</v>
      </c>
      <c r="C44">
        <v>72542</v>
      </c>
      <c r="D44" s="32" t="str">
        <f>VLOOKUP(A44,$A$2:$H$13,8,FALSE)</f>
        <v>אפריל 2016</v>
      </c>
      <c r="H44" s="18">
        <v>2000</v>
      </c>
      <c r="I44" s="18">
        <v>2000</v>
      </c>
      <c r="J44" s="18">
        <v>2000</v>
      </c>
      <c r="K44" s="18">
        <v>2000</v>
      </c>
      <c r="L44" s="18">
        <v>2000</v>
      </c>
      <c r="M44" s="19">
        <f>N44-SUM(H44:L44)</f>
        <v>2699</v>
      </c>
      <c r="N44" s="32">
        <f>D12</f>
        <v>12699</v>
      </c>
      <c r="O44" s="32">
        <f>E12</f>
        <v>12699</v>
      </c>
      <c r="P44" s="32">
        <f>F12</f>
        <v>0</v>
      </c>
      <c r="Q44" s="32">
        <f>G12</f>
        <v>2000</v>
      </c>
    </row>
    <row r="45" spans="1:17">
      <c r="A45" t="s">
        <v>145</v>
      </c>
      <c r="B45">
        <v>47.7</v>
      </c>
      <c r="C45">
        <v>15802</v>
      </c>
      <c r="D45" s="32" t="e">
        <f>VLOOKUP(A45,$A$2:$H$13,8,FALSE)</f>
        <v>#N/A</v>
      </c>
      <c r="G45" s="185"/>
      <c r="H45" s="185"/>
      <c r="I45" s="18">
        <f>427+1200+51+2000</f>
        <v>3678</v>
      </c>
      <c r="J45" s="18">
        <f>13+3000+210</f>
        <v>3223</v>
      </c>
      <c r="K45" s="18">
        <f>18+2000+400</f>
        <v>2418</v>
      </c>
      <c r="L45" s="24">
        <f>1150+460+1500</f>
        <v>3110</v>
      </c>
      <c r="M45" s="137"/>
      <c r="N45" s="32">
        <f>D13</f>
        <v>10160</v>
      </c>
      <c r="O45" s="32">
        <f>E13</f>
        <v>10160</v>
      </c>
      <c r="P45" s="32">
        <f>F13</f>
        <v>2407</v>
      </c>
      <c r="Q45" s="32">
        <f>G13</f>
        <v>2000</v>
      </c>
    </row>
    <row r="46" spans="1:17">
      <c r="A46" t="s">
        <v>14</v>
      </c>
      <c r="B46">
        <v>44.9</v>
      </c>
      <c r="C46">
        <v>16574</v>
      </c>
      <c r="D46" s="32" t="str">
        <f>VLOOKUP(A46,$A$2:$H$13,8,FALSE)</f>
        <v>ספטמבר 2016</v>
      </c>
      <c r="H46" s="24">
        <v>1766</v>
      </c>
      <c r="I46" s="18">
        <v>1000</v>
      </c>
      <c r="J46" s="18">
        <v>2000</v>
      </c>
      <c r="K46" s="18">
        <v>2000</v>
      </c>
      <c r="L46" s="18">
        <v>2000</v>
      </c>
      <c r="M46" s="19" t="e">
        <f>N46-SUM(H46:K46)-L46</f>
        <v>#REF!</v>
      </c>
      <c r="N46" s="32" t="e">
        <f>#REF!</f>
        <v>#REF!</v>
      </c>
      <c r="O46" s="32" t="e">
        <f>#REF!</f>
        <v>#REF!</v>
      </c>
      <c r="P46" s="32" t="e">
        <f>#REF!</f>
        <v>#REF!</v>
      </c>
      <c r="Q46" s="32" t="e">
        <f>#REF!</f>
        <v>#REF!</v>
      </c>
    </row>
    <row r="47" spans="1:17">
      <c r="A47" t="s">
        <v>12</v>
      </c>
      <c r="B47">
        <v>39.1</v>
      </c>
      <c r="C47">
        <v>15583</v>
      </c>
      <c r="D47" s="32" t="str">
        <f>VLOOKUP(A47,$A$2:$H$13,8,FALSE)</f>
        <v>ינואר 2014</v>
      </c>
      <c r="F47" s="24">
        <v>1089</v>
      </c>
      <c r="G47" s="24">
        <v>886</v>
      </c>
      <c r="H47" s="24">
        <f>578+1671+337</f>
        <v>2586</v>
      </c>
      <c r="I47" s="24">
        <v>2000</v>
      </c>
      <c r="J47" s="24" t="e">
        <f>N47-SUM(F47:I47)</f>
        <v>#REF!</v>
      </c>
      <c r="N47" s="32" t="e">
        <f>#REF!</f>
        <v>#REF!</v>
      </c>
      <c r="O47" s="32" t="e">
        <f>#REF!</f>
        <v>#REF!</v>
      </c>
      <c r="P47" s="32" t="e">
        <f>#REF!</f>
        <v>#REF!</v>
      </c>
      <c r="Q47" s="32" t="e">
        <f>#REF!</f>
        <v>#REF!</v>
      </c>
    </row>
    <row r="48" spans="1:17">
      <c r="A48" t="s">
        <v>15</v>
      </c>
      <c r="B48">
        <v>51.5</v>
      </c>
      <c r="C48">
        <v>15910</v>
      </c>
      <c r="D48" s="32" t="str">
        <f>VLOOKUP(A48,$A$2:$H$13,8,FALSE)</f>
        <v>נובמבר 2013</v>
      </c>
      <c r="E48" s="24">
        <f>ROUNDDOWN($E$7/3,0)</f>
        <v>2147</v>
      </c>
      <c r="F48" s="24">
        <f>ROUNDDOWN($E$7/3,0)</f>
        <v>2147</v>
      </c>
      <c r="G48" s="24">
        <f>ROUNDDOWN($E$7/3,0)</f>
        <v>2147</v>
      </c>
      <c r="H48" s="24">
        <v>0</v>
      </c>
      <c r="I48" s="24"/>
      <c r="N48" s="32" t="e">
        <f>#REF!</f>
        <v>#REF!</v>
      </c>
      <c r="O48" s="32" t="e">
        <f>#REF!</f>
        <v>#REF!</v>
      </c>
      <c r="P48" s="32" t="e">
        <f>#REF!</f>
        <v>#REF!</v>
      </c>
      <c r="Q48" s="32" t="e">
        <f>#REF!</f>
        <v>#REF!</v>
      </c>
    </row>
    <row r="49" spans="1:17">
      <c r="A49" s="29" t="s">
        <v>16</v>
      </c>
      <c r="B49">
        <v>42.9</v>
      </c>
      <c r="C49">
        <v>12334</v>
      </c>
      <c r="D49" s="32" t="str">
        <f>VLOOKUP(A49,$A$2:$H$13,8,FALSE)</f>
        <v>פברואר 2014</v>
      </c>
      <c r="F49" s="24">
        <v>3000</v>
      </c>
      <c r="G49" s="24">
        <v>2800</v>
      </c>
      <c r="H49" s="24">
        <v>2500</v>
      </c>
      <c r="I49" s="24">
        <v>1227</v>
      </c>
      <c r="N49" s="32" t="e">
        <f>#REF!</f>
        <v>#REF!</v>
      </c>
      <c r="O49" s="32" t="e">
        <f>#REF!</f>
        <v>#REF!</v>
      </c>
      <c r="P49" s="32" t="e">
        <f>#REF!</f>
        <v>#REF!</v>
      </c>
      <c r="Q49" s="32" t="e">
        <f>#REF!</f>
        <v>#REF!</v>
      </c>
    </row>
    <row r="50" spans="1:17">
      <c r="A50" t="s">
        <v>17</v>
      </c>
      <c r="B50">
        <v>244</v>
      </c>
      <c r="C50">
        <v>77688</v>
      </c>
      <c r="D50" s="32" t="str">
        <f>VLOOKUP(A50,$A$2:$H$13,8,FALSE)</f>
        <v>נובמבר 2014</v>
      </c>
      <c r="F50" s="24" t="e">
        <f>1389+'תוכניות בניין עיר'!#REF!</f>
        <v>#REF!</v>
      </c>
      <c r="G50" s="24">
        <f>2700+1300+3500</f>
        <v>7500</v>
      </c>
      <c r="H50" s="24">
        <f>1700+2300</f>
        <v>4000</v>
      </c>
      <c r="I50" s="24" t="e">
        <f>3500+'תוכניות בניין עיר'!#REF!</f>
        <v>#REF!</v>
      </c>
      <c r="N50" s="32" t="e">
        <f>#REF!</f>
        <v>#REF!</v>
      </c>
      <c r="O50" s="32" t="e">
        <f>#REF!</f>
        <v>#REF!</v>
      </c>
      <c r="P50" s="32" t="e">
        <f>#REF!</f>
        <v>#REF!</v>
      </c>
      <c r="Q50" s="32" t="e">
        <f>#REF!</f>
        <v>#REF!</v>
      </c>
    </row>
    <row r="51" spans="1:17">
      <c r="A51" t="s">
        <v>18</v>
      </c>
      <c r="B51">
        <v>73.7</v>
      </c>
      <c r="C51">
        <v>21284</v>
      </c>
      <c r="D51" s="32" t="str">
        <f>VLOOKUP(A51,$A$2:$H$13,8,FALSE)</f>
        <v>יולי 2015</v>
      </c>
      <c r="G51" s="24">
        <v>2000</v>
      </c>
      <c r="H51" s="24" t="e">
        <f>('תוכניות בניין עיר'!#REF!+'תוכניות בניין עיר'!G85-2000+'תוכניות בניין עיר'!G87)+227+'תוכניות בניין עיר'!G86+'תוכניות בניין עיר'!G88</f>
        <v>#REF!</v>
      </c>
      <c r="I51" s="24" t="e">
        <f>'תוכניות בניין עיר'!#REF!+'תוכניות בניין עיר'!#REF!+'תוכניות בניין עיר'!#REF!+661</f>
        <v>#REF!</v>
      </c>
      <c r="N51" s="32" t="e">
        <f>#REF!</f>
        <v>#REF!</v>
      </c>
      <c r="O51" s="32" t="e">
        <f>#REF!</f>
        <v>#REF!</v>
      </c>
      <c r="P51" s="32" t="e">
        <f>#REF!</f>
        <v>#REF!</v>
      </c>
      <c r="Q51" s="32" t="e">
        <f>#REF!</f>
        <v>#REF!</v>
      </c>
    </row>
    <row r="53" spans="1:17" ht="15.75" thickBot="1"/>
    <row r="54" spans="1:17">
      <c r="A54" s="174" t="s">
        <v>1052</v>
      </c>
      <c r="B54" s="174" t="s">
        <v>1049</v>
      </c>
      <c r="C54" s="174"/>
      <c r="D54" s="174"/>
      <c r="E54" s="174"/>
      <c r="F54" s="174"/>
    </row>
    <row r="55" spans="1:17" ht="60">
      <c r="A55" s="175" t="s">
        <v>1051</v>
      </c>
      <c r="D55" s="183" t="s">
        <v>1061</v>
      </c>
      <c r="F55" s="175">
        <v>2014</v>
      </c>
      <c r="G55" s="175">
        <v>2015</v>
      </c>
      <c r="H55" s="175">
        <v>2016</v>
      </c>
      <c r="I55" s="175">
        <v>2017</v>
      </c>
    </row>
    <row r="56" spans="1:17">
      <c r="A56" s="176" t="s">
        <v>10</v>
      </c>
      <c r="D56" s="178">
        <v>917</v>
      </c>
      <c r="F56" s="178"/>
      <c r="G56" s="178"/>
      <c r="H56" s="178">
        <v>917</v>
      </c>
      <c r="I56" s="178"/>
    </row>
    <row r="57" spans="1:17">
      <c r="A57" s="176" t="s">
        <v>11</v>
      </c>
      <c r="D57" s="178">
        <v>4842</v>
      </c>
      <c r="F57" s="178">
        <v>822</v>
      </c>
      <c r="G57" s="178">
        <v>537</v>
      </c>
      <c r="H57" s="178">
        <v>1427</v>
      </c>
      <c r="I57" s="178">
        <v>2056</v>
      </c>
    </row>
    <row r="58" spans="1:17">
      <c r="A58" s="176" t="s">
        <v>35</v>
      </c>
      <c r="D58" s="178">
        <v>68</v>
      </c>
      <c r="F58" s="178"/>
      <c r="G58" s="178"/>
      <c r="H58" s="178"/>
      <c r="I58" s="178">
        <v>68</v>
      </c>
    </row>
    <row r="59" spans="1:17">
      <c r="A59" s="176" t="s">
        <v>13</v>
      </c>
      <c r="D59" s="178">
        <v>1468</v>
      </c>
      <c r="F59" s="178"/>
      <c r="G59" s="178"/>
      <c r="H59" s="178">
        <v>1468</v>
      </c>
      <c r="I59" s="178"/>
    </row>
    <row r="60" spans="1:17">
      <c r="A60" s="176" t="s">
        <v>146</v>
      </c>
      <c r="D60" s="178">
        <v>2583</v>
      </c>
      <c r="F60" s="178"/>
      <c r="G60" s="178">
        <f>117+876</f>
        <v>993</v>
      </c>
      <c r="H60" s="178">
        <v>1590</v>
      </c>
      <c r="I60" s="178"/>
    </row>
    <row r="61" spans="1:17">
      <c r="A61" s="176" t="s">
        <v>147</v>
      </c>
      <c r="D61" s="178">
        <v>2035</v>
      </c>
      <c r="F61" s="178"/>
      <c r="G61" s="178"/>
      <c r="H61" s="178"/>
      <c r="I61" s="178">
        <v>2035</v>
      </c>
    </row>
    <row r="62" spans="1:17">
      <c r="A62" s="176" t="s">
        <v>34</v>
      </c>
      <c r="D62" s="178">
        <v>6789</v>
      </c>
      <c r="F62" s="178">
        <v>1725</v>
      </c>
      <c r="G62" s="178">
        <v>1337</v>
      </c>
      <c r="H62" s="178">
        <v>120</v>
      </c>
      <c r="I62" s="178">
        <v>3607</v>
      </c>
    </row>
    <row r="63" spans="1:17">
      <c r="A63" s="176" t="s">
        <v>235</v>
      </c>
      <c r="D63" s="178">
        <v>117</v>
      </c>
      <c r="F63" s="178"/>
      <c r="G63" s="178"/>
      <c r="H63" s="178"/>
      <c r="I63" s="178">
        <v>117</v>
      </c>
    </row>
    <row r="64" spans="1:17">
      <c r="A64" s="176" t="s">
        <v>19</v>
      </c>
      <c r="D64" s="178">
        <v>406</v>
      </c>
      <c r="F64" s="178"/>
      <c r="G64" s="178"/>
      <c r="H64" s="178">
        <v>240</v>
      </c>
      <c r="I64" s="178">
        <v>166</v>
      </c>
    </row>
    <row r="65" spans="1:9">
      <c r="A65" s="176" t="s">
        <v>14</v>
      </c>
      <c r="D65" s="178">
        <v>92</v>
      </c>
      <c r="F65" s="178"/>
      <c r="G65" s="178"/>
      <c r="H65" s="178">
        <v>92</v>
      </c>
      <c r="I65" s="178"/>
    </row>
    <row r="66" spans="1:9">
      <c r="A66" s="176" t="s">
        <v>793</v>
      </c>
      <c r="D66" s="178">
        <v>1910</v>
      </c>
      <c r="F66" s="178">
        <v>100</v>
      </c>
      <c r="G66" s="178">
        <v>682</v>
      </c>
      <c r="H66" s="178">
        <v>1128</v>
      </c>
      <c r="I66" s="178"/>
    </row>
    <row r="67" spans="1:9">
      <c r="A67" s="176" t="s">
        <v>801</v>
      </c>
      <c r="D67" s="178">
        <v>5160</v>
      </c>
      <c r="F67" s="178">
        <v>2242</v>
      </c>
      <c r="G67" s="178">
        <v>1609</v>
      </c>
      <c r="H67" s="178">
        <v>1309</v>
      </c>
      <c r="I67" s="178"/>
    </row>
    <row r="68" spans="1:9">
      <c r="A68" s="176" t="s">
        <v>16</v>
      </c>
      <c r="D68" s="178">
        <v>4576</v>
      </c>
      <c r="F68" s="178"/>
      <c r="G68" s="178">
        <v>1903</v>
      </c>
      <c r="H68" s="178">
        <v>2673</v>
      </c>
      <c r="I68" s="178"/>
    </row>
    <row r="69" spans="1:9">
      <c r="A69" s="176" t="s">
        <v>17</v>
      </c>
      <c r="D69" s="178">
        <v>4478</v>
      </c>
      <c r="F69" s="178"/>
      <c r="G69" s="178">
        <v>1030</v>
      </c>
      <c r="H69" s="178">
        <v>654</v>
      </c>
      <c r="I69" s="178">
        <v>2794</v>
      </c>
    </row>
    <row r="70" spans="1:9">
      <c r="A70" s="176" t="s">
        <v>18</v>
      </c>
      <c r="D70" s="178">
        <v>802</v>
      </c>
      <c r="F70" s="178"/>
      <c r="G70" s="178">
        <v>2</v>
      </c>
      <c r="H70" s="178">
        <v>800</v>
      </c>
      <c r="I70" s="178"/>
    </row>
    <row r="71" spans="1:9" ht="15.75" thickBot="1">
      <c r="A71" s="177" t="s">
        <v>1061</v>
      </c>
      <c r="D71" s="179">
        <v>36243</v>
      </c>
      <c r="F71" s="179">
        <v>5765</v>
      </c>
      <c r="G71" s="179">
        <v>7217</v>
      </c>
      <c r="H71" s="179">
        <v>12418</v>
      </c>
      <c r="I71" s="179">
        <v>10843</v>
      </c>
    </row>
    <row r="72" spans="1:9" ht="15.75" thickBot="1"/>
    <row r="73" spans="1:9" ht="32.25" thickBot="1">
      <c r="A73" s="188"/>
      <c r="B73" s="189">
        <v>2013</v>
      </c>
      <c r="C73" s="190">
        <v>2014</v>
      </c>
      <c r="D73" s="190">
        <v>2015</v>
      </c>
      <c r="E73" s="190">
        <v>2016</v>
      </c>
      <c r="F73" s="191">
        <v>2017</v>
      </c>
      <c r="G73" s="193" t="s">
        <v>1064</v>
      </c>
      <c r="H73" s="192" t="s">
        <v>1071</v>
      </c>
      <c r="I73" s="220" t="s">
        <v>1070</v>
      </c>
    </row>
    <row r="74" spans="1:9" ht="15.75">
      <c r="A74" s="194" t="s">
        <v>10</v>
      </c>
      <c r="B74" s="198"/>
      <c r="C74" s="199"/>
      <c r="D74" s="199" t="str">
        <f t="shared" ref="D74:F75" si="9">G56&amp;" ("&amp;G34&amp;")"</f>
        <v xml:space="preserve"> (2000)</v>
      </c>
      <c r="E74" s="199" t="str">
        <f t="shared" si="9"/>
        <v>917 (2000)</v>
      </c>
      <c r="F74" s="200" t="str">
        <f t="shared" si="9"/>
        <v xml:space="preserve"> (2000)</v>
      </c>
      <c r="G74" s="201" t="str">
        <f>$D56&amp;" ("&amp;SUM($E34:$I34)&amp;")"</f>
        <v>917 (6000)</v>
      </c>
      <c r="H74" s="214">
        <f>$D56-SUM($E34:$H34)</f>
        <v>-3083</v>
      </c>
      <c r="I74" s="200" t="s">
        <v>1066</v>
      </c>
    </row>
    <row r="75" spans="1:9" ht="15.75">
      <c r="A75" s="195" t="s">
        <v>11</v>
      </c>
      <c r="B75" s="202"/>
      <c r="C75" s="203" t="str">
        <f>F57&amp;" ("&amp;F35&amp;")"</f>
        <v>822 (6202)</v>
      </c>
      <c r="D75" s="203" t="str">
        <f t="shared" si="9"/>
        <v>537 (3711)</v>
      </c>
      <c r="E75" s="203" t="str">
        <f t="shared" si="9"/>
        <v>1427 (4136)</v>
      </c>
      <c r="F75" s="204" t="str">
        <f t="shared" si="9"/>
        <v>2056 (2044)</v>
      </c>
      <c r="G75" s="205" t="str">
        <f>$D57&amp;" ("&amp;SUM($E35:$I35)&amp;")"</f>
        <v>4842 (16093)</v>
      </c>
      <c r="H75" s="215">
        <f>$D57-SUM($E35:$H35)</f>
        <v>-9207</v>
      </c>
      <c r="I75" s="204" t="s">
        <v>1067</v>
      </c>
    </row>
    <row r="76" spans="1:9" ht="15.75">
      <c r="A76" s="196" t="s">
        <v>35</v>
      </c>
      <c r="B76" s="206"/>
      <c r="C76" s="207"/>
      <c r="D76" s="207"/>
      <c r="E76" s="207"/>
      <c r="F76" s="208" t="str">
        <f>I58&amp;" ("&amp;I36&amp;")"</f>
        <v>68 (6014)</v>
      </c>
      <c r="G76" s="209" t="str">
        <f>$D58&amp;" ("&amp;SUM($E36:$I36)&amp;")"</f>
        <v>68 (6014)</v>
      </c>
      <c r="H76" s="216">
        <f>$D58-SUM($E36:$H36)</f>
        <v>68</v>
      </c>
      <c r="I76" s="208" t="s">
        <v>1068</v>
      </c>
    </row>
    <row r="77" spans="1:9" ht="15.75">
      <c r="A77" s="195" t="s">
        <v>13</v>
      </c>
      <c r="B77" s="202"/>
      <c r="C77" s="203"/>
      <c r="D77" s="203"/>
      <c r="E77" s="203" t="str">
        <f>H59&amp;" ("&amp;H37&amp;")"</f>
        <v>1468 (2000)</v>
      </c>
      <c r="F77" s="204" t="str">
        <f>I59&amp;" ("&amp;I37&amp;")"</f>
        <v xml:space="preserve"> (2000)</v>
      </c>
      <c r="G77" s="205" t="str">
        <f>$D59&amp;" ("&amp;SUM($E37:$I37)&amp;")"</f>
        <v>1468 (4000)</v>
      </c>
      <c r="H77" s="215">
        <f>$D59-SUM($E37:$H37)</f>
        <v>-532</v>
      </c>
      <c r="I77" s="204" t="s">
        <v>1066</v>
      </c>
    </row>
    <row r="78" spans="1:9" ht="15.75">
      <c r="A78" s="196" t="s">
        <v>146</v>
      </c>
      <c r="B78" s="206"/>
      <c r="C78" s="207"/>
      <c r="D78" s="207" t="str">
        <f>G60&amp;" ("&amp;G38&amp;")"</f>
        <v>993 (2232)</v>
      </c>
      <c r="E78" s="207" t="str">
        <f>H60&amp;" ("&amp;H38&amp;")"</f>
        <v>1590 (1651)</v>
      </c>
      <c r="F78" s="208" t="str">
        <f>I60&amp;" ("&amp;I38&amp;")"</f>
        <v xml:space="preserve"> (2500)</v>
      </c>
      <c r="G78" s="209" t="str">
        <f>$D60&amp;" ("&amp;SUM($E38:$I38)&amp;")"</f>
        <v>2583 (6383)</v>
      </c>
      <c r="H78" s="216">
        <f>$D60-SUM($E38:$H38)</f>
        <v>-1300</v>
      </c>
      <c r="I78" s="208" t="s">
        <v>1066</v>
      </c>
    </row>
    <row r="79" spans="1:9" ht="15.75">
      <c r="A79" s="195" t="s">
        <v>147</v>
      </c>
      <c r="B79" s="202"/>
      <c r="C79" s="203"/>
      <c r="D79" s="203"/>
      <c r="E79" s="203" t="str">
        <f>H61&amp;" ("&amp;H40&amp;")"</f>
        <v xml:space="preserve"> (2000)</v>
      </c>
      <c r="F79" s="204" t="str">
        <f>I61&amp;" ("&amp;I40&amp;")"</f>
        <v>2035 (2000)</v>
      </c>
      <c r="G79" s="205" t="str">
        <f>$D61&amp;" ("&amp;SUM($E40:$I40)&amp;")"</f>
        <v>2035 (4000)</v>
      </c>
      <c r="H79" s="215">
        <f>$D61-SUM($E40:$H40)</f>
        <v>35</v>
      </c>
      <c r="I79" s="204" t="s">
        <v>1069</v>
      </c>
    </row>
    <row r="80" spans="1:9" ht="31.5">
      <c r="A80" s="196" t="s">
        <v>34</v>
      </c>
      <c r="B80" s="206"/>
      <c r="C80" s="207" t="str">
        <f>F62&amp;" ("&amp;F42&amp;")"</f>
        <v>1725 (1440)</v>
      </c>
      <c r="D80" s="207" t="str">
        <f>G62&amp;" ("&amp;G42&amp;")"</f>
        <v>1337 (900)</v>
      </c>
      <c r="E80" s="207" t="str">
        <f>H62&amp;" ("&amp;H42&amp;")"</f>
        <v>120 (4000)</v>
      </c>
      <c r="F80" s="208" t="str">
        <f>I62&amp;" ("&amp;I42&amp;")"</f>
        <v>3607 (0)</v>
      </c>
      <c r="G80" s="209" t="str">
        <f>$D62&amp;" ("&amp;SUM($E42:$I42)&amp;")"</f>
        <v>6789 (6340)</v>
      </c>
      <c r="H80" s="216">
        <f>$D62-SUM($E42:$H42)</f>
        <v>449</v>
      </c>
      <c r="I80" s="218" t="s">
        <v>1072</v>
      </c>
    </row>
    <row r="81" spans="1:9" ht="31.5">
      <c r="A81" s="195" t="s">
        <v>235</v>
      </c>
      <c r="B81" s="202"/>
      <c r="C81" s="203"/>
      <c r="D81" s="203"/>
      <c r="E81" s="203"/>
      <c r="F81" s="204" t="str">
        <f>I63&amp;" ("&amp;I43&amp;")"</f>
        <v>117 ()</v>
      </c>
      <c r="G81" s="205" t="str">
        <f>$D63&amp;" ("&amp;SUM($E43:$I43)&amp;")"</f>
        <v>117 (0)</v>
      </c>
      <c r="H81" s="215">
        <f>$D63-SUM($E43:$H43)</f>
        <v>117</v>
      </c>
      <c r="I81" s="219" t="s">
        <v>1065</v>
      </c>
    </row>
    <row r="82" spans="1:9" ht="15.75">
      <c r="A82" s="196" t="s">
        <v>19</v>
      </c>
      <c r="B82" s="206"/>
      <c r="C82" s="207"/>
      <c r="D82" s="207"/>
      <c r="E82" s="207" t="str">
        <f>H64&amp;" ("&amp;H44&amp;")"</f>
        <v>240 (2000)</v>
      </c>
      <c r="F82" s="208" t="str">
        <f>I64&amp;" ("&amp;I44&amp;")"</f>
        <v>166 (2000)</v>
      </c>
      <c r="G82" s="209" t="str">
        <f>$D64&amp;" ("&amp;SUM($E44:$I44)&amp;")"</f>
        <v>406 (4000)</v>
      </c>
      <c r="H82" s="216">
        <f>$D64-SUM($E44:$H44)</f>
        <v>-1594</v>
      </c>
      <c r="I82" s="208" t="s">
        <v>1066</v>
      </c>
    </row>
    <row r="83" spans="1:9" ht="15.75">
      <c r="A83" s="195" t="s">
        <v>14</v>
      </c>
      <c r="B83" s="202"/>
      <c r="C83" s="203"/>
      <c r="D83" s="203"/>
      <c r="E83" s="203" t="str">
        <f t="shared" ref="E83:F88" si="10">H65&amp;" ("&amp;H46&amp;")"</f>
        <v>92 (1766)</v>
      </c>
      <c r="F83" s="204" t="str">
        <f t="shared" si="10"/>
        <v xml:space="preserve"> (1000)</v>
      </c>
      <c r="G83" s="205" t="str">
        <f t="shared" ref="G83:G88" si="11">$D65&amp;" ("&amp;SUM($E46:$I46)&amp;")"</f>
        <v>92 (2766)</v>
      </c>
      <c r="H83" s="215">
        <f t="shared" ref="H83:H88" si="12">$D65-SUM($E46:$H46)</f>
        <v>-1674</v>
      </c>
      <c r="I83" s="204" t="s">
        <v>1066</v>
      </c>
    </row>
    <row r="84" spans="1:9" ht="15.75">
      <c r="A84" s="196" t="s">
        <v>793</v>
      </c>
      <c r="B84" s="206"/>
      <c r="C84" s="207" t="str">
        <f t="shared" ref="C84:D87" si="13">F66&amp;" ("&amp;F47&amp;")"</f>
        <v>100 (1089)</v>
      </c>
      <c r="D84" s="207" t="str">
        <f t="shared" si="13"/>
        <v>682 (886)</v>
      </c>
      <c r="E84" s="207" t="str">
        <f t="shared" si="10"/>
        <v>1128 (2586)</v>
      </c>
      <c r="F84" s="208" t="str">
        <f t="shared" si="10"/>
        <v xml:space="preserve"> (2000)</v>
      </c>
      <c r="G84" s="209" t="str">
        <f t="shared" si="11"/>
        <v>1910 (6561)</v>
      </c>
      <c r="H84" s="216">
        <f t="shared" si="12"/>
        <v>-2651</v>
      </c>
      <c r="I84" s="208" t="s">
        <v>1066</v>
      </c>
    </row>
    <row r="85" spans="1:9" ht="15.75">
      <c r="A85" s="195" t="s">
        <v>801</v>
      </c>
      <c r="B85" s="202" t="str">
        <f>E67&amp;" ("&amp;E48&amp;")"</f>
        <v xml:space="preserve"> (2147)</v>
      </c>
      <c r="C85" s="203" t="str">
        <f t="shared" si="13"/>
        <v>2242 (2147)</v>
      </c>
      <c r="D85" s="203" t="str">
        <f t="shared" si="13"/>
        <v>1609 (2147)</v>
      </c>
      <c r="E85" s="203" t="str">
        <f t="shared" si="10"/>
        <v>1309 (0)</v>
      </c>
      <c r="F85" s="204"/>
      <c r="G85" s="205" t="str">
        <f t="shared" si="11"/>
        <v>5160 (6441)</v>
      </c>
      <c r="H85" s="215">
        <f t="shared" si="12"/>
        <v>-1281</v>
      </c>
      <c r="I85" s="204" t="s">
        <v>1066</v>
      </c>
    </row>
    <row r="86" spans="1:9" ht="15.75">
      <c r="A86" s="196" t="s">
        <v>16</v>
      </c>
      <c r="B86" s="206"/>
      <c r="C86" s="207" t="str">
        <f t="shared" si="13"/>
        <v xml:space="preserve"> (3000)</v>
      </c>
      <c r="D86" s="207" t="str">
        <f t="shared" si="13"/>
        <v>1903 (2800)</v>
      </c>
      <c r="E86" s="207" t="str">
        <f t="shared" si="10"/>
        <v>2673 (2500)</v>
      </c>
      <c r="F86" s="208" t="str">
        <f t="shared" si="10"/>
        <v xml:space="preserve"> (1227)</v>
      </c>
      <c r="G86" s="209" t="str">
        <f t="shared" si="11"/>
        <v>4576 (9527)</v>
      </c>
      <c r="H86" s="216">
        <f t="shared" si="12"/>
        <v>-3724</v>
      </c>
      <c r="I86" s="208" t="s">
        <v>1067</v>
      </c>
    </row>
    <row r="87" spans="1:9" ht="15.75">
      <c r="A87" s="195" t="s">
        <v>17</v>
      </c>
      <c r="B87" s="202"/>
      <c r="C87" s="203" t="e">
        <f t="shared" si="13"/>
        <v>#REF!</v>
      </c>
      <c r="D87" s="203" t="str">
        <f t="shared" si="13"/>
        <v>1030 (7500)</v>
      </c>
      <c r="E87" s="203" t="str">
        <f t="shared" si="10"/>
        <v>654 (4000)</v>
      </c>
      <c r="F87" s="204" t="e">
        <f t="shared" si="10"/>
        <v>#REF!</v>
      </c>
      <c r="G87" s="205" t="e">
        <f t="shared" si="11"/>
        <v>#REF!</v>
      </c>
      <c r="H87" s="215" t="e">
        <f t="shared" si="12"/>
        <v>#REF!</v>
      </c>
      <c r="I87" s="204" t="s">
        <v>1067</v>
      </c>
    </row>
    <row r="88" spans="1:9" ht="16.5" thickBot="1">
      <c r="A88" s="197" t="s">
        <v>18</v>
      </c>
      <c r="B88" s="210"/>
      <c r="C88" s="211"/>
      <c r="D88" s="211" t="str">
        <f>G70&amp;" ("&amp;G51&amp;")"</f>
        <v>2 (2000)</v>
      </c>
      <c r="E88" s="211" t="e">
        <f t="shared" si="10"/>
        <v>#REF!</v>
      </c>
      <c r="F88" s="212" t="e">
        <f t="shared" si="10"/>
        <v>#REF!</v>
      </c>
      <c r="G88" s="213" t="e">
        <f t="shared" si="11"/>
        <v>#REF!</v>
      </c>
      <c r="H88" s="217" t="e">
        <f t="shared" si="12"/>
        <v>#REF!</v>
      </c>
      <c r="I88" s="212" t="s">
        <v>1066</v>
      </c>
    </row>
  </sheetData>
  <autoFilter ref="A31:Q31">
    <sortState ref="A50:Q69">
      <sortCondition ref="A49"/>
    </sortState>
  </autoFilter>
  <mergeCells count="1">
    <mergeCell ref="BM2:BN2"/>
  </mergeCells>
  <conditionalFormatting sqref="AX2:AY7 AX10:AY13">
    <cfRule type="cellIs" dxfId="34" priority="44" operator="greaterThan">
      <formula>1.5</formula>
    </cfRule>
    <cfRule type="cellIs" dxfId="33" priority="45" operator="greaterThan">
      <formula>2</formula>
    </cfRule>
  </conditionalFormatting>
  <conditionalFormatting sqref="AV3:AV7 AV10:AV13">
    <cfRule type="cellIs" dxfId="32" priority="42" operator="greaterThan">
      <formula>40000</formula>
    </cfRule>
    <cfRule type="cellIs" dxfId="31" priority="43" operator="greaterThan">
      <formula>50000</formula>
    </cfRule>
  </conditionalFormatting>
  <conditionalFormatting sqref="AY2:AY7 AY10:AY13">
    <cfRule type="cellIs" dxfId="30" priority="40" operator="greaterThan">
      <formula>0.1</formula>
    </cfRule>
    <cfRule type="cellIs" dxfId="29" priority="41" operator="greaterThan">
      <formula>0.05</formula>
    </cfRule>
  </conditionalFormatting>
  <conditionalFormatting sqref="AX8:AY9">
    <cfRule type="cellIs" dxfId="28" priority="38" operator="greaterThan">
      <formula>1.5</formula>
    </cfRule>
    <cfRule type="cellIs" dxfId="27" priority="39" operator="greaterThan">
      <formula>2</formula>
    </cfRule>
  </conditionalFormatting>
  <conditionalFormatting sqref="AV8:AV9">
    <cfRule type="cellIs" dxfId="26" priority="36" operator="greaterThan">
      <formula>40000</formula>
    </cfRule>
    <cfRule type="cellIs" dxfId="25" priority="37" operator="greaterThan">
      <formula>50000</formula>
    </cfRule>
  </conditionalFormatting>
  <conditionalFormatting sqref="AY8:AY9">
    <cfRule type="cellIs" dxfId="24" priority="34" operator="greaterThan">
      <formula>0.1</formula>
    </cfRule>
    <cfRule type="cellIs" dxfId="23" priority="35" operator="greaterThan">
      <formula>0.05</formula>
    </cfRule>
  </conditionalFormatting>
  <conditionalFormatting sqref="AR3:AS13">
    <cfRule type="cellIs" dxfId="22" priority="26" operator="lessThan">
      <formula>-3500</formula>
    </cfRule>
    <cfRule type="cellIs" dxfId="21" priority="27" operator="lessThan">
      <formula>-2000</formula>
    </cfRule>
  </conditionalFormatting>
  <conditionalFormatting sqref="AR2">
    <cfRule type="cellIs" dxfId="20" priority="24" operator="lessThan">
      <formula>-3500</formula>
    </cfRule>
    <cfRule type="cellIs" dxfId="19" priority="25" operator="lessThan">
      <formula>-2000</formula>
    </cfRule>
  </conditionalFormatting>
  <conditionalFormatting sqref="AS2">
    <cfRule type="cellIs" dxfId="16" priority="16" operator="lessThan">
      <formula>-3500</formula>
    </cfRule>
    <cfRule type="cellIs" dxfId="15" priority="17" operator="lessThan">
      <formula>-2000</formula>
    </cfRule>
  </conditionalFormatting>
  <conditionalFormatting sqref="H74:H88">
    <cfRule type="cellIs" dxfId="0" priority="1" operator="lessThan">
      <formula>0</formula>
    </cfRule>
  </conditionalFormatting>
  <hyperlinks>
    <hyperlink ref="A5" r:id="rId1"/>
    <hyperlink ref="A36" r:id="rId2"/>
    <hyperlink ref="A42" r:id="rId3"/>
    <hyperlink ref="A43" r:id="rId4"/>
    <hyperlink ref="A41" r:id="rId5"/>
    <hyperlink ref="A39" r:id="rId6"/>
    <hyperlink ref="A32" r:id="rId7"/>
    <hyperlink ref="A33" r:id="rId8"/>
  </hyperlinks>
  <pageMargins left="0.7" right="0.7" top="0.75" bottom="0.75" header="0.3" footer="0.3"/>
  <pageSetup orientation="portrait" r:id="rId9"/>
  <legacyDrawing r:id="rId1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0"/>
  <sheetViews>
    <sheetView rightToLeft="1" topLeftCell="A28" zoomScaleNormal="100" workbookViewId="0">
      <selection activeCell="C48" sqref="C48"/>
    </sheetView>
  </sheetViews>
  <sheetFormatPr defaultRowHeight="15"/>
  <cols>
    <col min="1" max="1" width="28.7109375" customWidth="1"/>
    <col min="2" max="2" width="17.85546875" customWidth="1"/>
    <col min="3" max="6" width="14.28515625" customWidth="1"/>
    <col min="7" max="7" width="24" customWidth="1"/>
    <col min="8" max="8" width="10.5703125" bestFit="1" customWidth="1"/>
    <col min="9" max="9" width="27.42578125" bestFit="1" customWidth="1"/>
    <col min="10" max="10" width="29.140625" customWidth="1"/>
    <col min="11" max="11" width="32.140625" customWidth="1"/>
    <col min="12" max="12" width="23.5703125" bestFit="1" customWidth="1"/>
    <col min="13" max="13" width="17.85546875" bestFit="1" customWidth="1"/>
    <col min="14" max="14" width="5" customWidth="1"/>
    <col min="15" max="15" width="7" customWidth="1"/>
    <col min="16" max="16" width="5" customWidth="1"/>
    <col min="17" max="18" width="7" customWidth="1"/>
    <col min="19" max="19" width="5.42578125" customWidth="1"/>
    <col min="20" max="21" width="7" customWidth="1"/>
    <col min="22" max="23" width="8" customWidth="1"/>
    <col min="24" max="24" width="16.42578125" customWidth="1"/>
    <col min="25" max="27" width="21" bestFit="1" customWidth="1"/>
    <col min="28" max="28" width="11.28515625" bestFit="1" customWidth="1"/>
  </cols>
  <sheetData>
    <row r="1" spans="1:6">
      <c r="A1" s="173" t="s">
        <v>702</v>
      </c>
      <c r="B1" s="127" t="s">
        <v>892</v>
      </c>
    </row>
    <row r="2" spans="1:6">
      <c r="A2" s="173" t="s">
        <v>700</v>
      </c>
      <c r="B2" s="127" t="s">
        <v>1054</v>
      </c>
    </row>
    <row r="3" spans="1:6">
      <c r="A3" s="173" t="s">
        <v>239</v>
      </c>
      <c r="B3" s="127" t="s">
        <v>1054</v>
      </c>
    </row>
    <row r="5" spans="1:6">
      <c r="A5" s="173" t="s">
        <v>1056</v>
      </c>
      <c r="B5" s="173" t="s">
        <v>1049</v>
      </c>
    </row>
    <row r="6" spans="1:6">
      <c r="A6" s="173" t="s">
        <v>1051</v>
      </c>
      <c r="B6">
        <v>2014</v>
      </c>
      <c r="C6">
        <v>2015</v>
      </c>
      <c r="D6">
        <v>2016</v>
      </c>
      <c r="E6">
        <v>2017</v>
      </c>
      <c r="F6" t="s">
        <v>1050</v>
      </c>
    </row>
    <row r="7" spans="1:6">
      <c r="A7" s="127" t="s">
        <v>10</v>
      </c>
      <c r="B7" s="15"/>
      <c r="C7" s="15"/>
      <c r="D7" s="15">
        <v>44914199</v>
      </c>
      <c r="E7" s="15"/>
      <c r="F7" s="15">
        <v>44914199</v>
      </c>
    </row>
    <row r="8" spans="1:6">
      <c r="A8" s="127" t="s">
        <v>11</v>
      </c>
      <c r="B8" s="15">
        <v>102637904</v>
      </c>
      <c r="C8" s="15">
        <v>61055619</v>
      </c>
      <c r="D8" s="15">
        <v>119733314</v>
      </c>
      <c r="E8" s="15">
        <v>14030425</v>
      </c>
      <c r="F8" s="15">
        <v>297457262</v>
      </c>
    </row>
    <row r="9" spans="1:6">
      <c r="A9" s="127" t="s">
        <v>35</v>
      </c>
      <c r="B9" s="15"/>
      <c r="C9" s="15"/>
      <c r="D9" s="15"/>
      <c r="E9" s="15">
        <v>4188800</v>
      </c>
      <c r="F9" s="15">
        <v>4188800</v>
      </c>
    </row>
    <row r="10" spans="1:6">
      <c r="A10" s="127" t="s">
        <v>13</v>
      </c>
      <c r="B10" s="15"/>
      <c r="C10" s="15"/>
      <c r="D10" s="15">
        <v>862438525</v>
      </c>
      <c r="E10" s="15"/>
      <c r="F10" s="15">
        <v>862438525</v>
      </c>
    </row>
    <row r="11" spans="1:6">
      <c r="A11" s="127" t="s">
        <v>146</v>
      </c>
      <c r="B11" s="15">
        <v>62888846</v>
      </c>
      <c r="C11" s="15">
        <v>38777999</v>
      </c>
      <c r="D11" s="15">
        <v>27854475</v>
      </c>
      <c r="E11" s="15"/>
      <c r="F11" s="15">
        <v>129521320</v>
      </c>
    </row>
    <row r="12" spans="1:6">
      <c r="A12" s="127" t="s">
        <v>147</v>
      </c>
      <c r="B12" s="15"/>
      <c r="C12" s="15"/>
      <c r="D12" s="15"/>
      <c r="E12" s="15">
        <v>315714800</v>
      </c>
      <c r="F12" s="15">
        <v>315714800</v>
      </c>
    </row>
    <row r="13" spans="1:6">
      <c r="A13" s="127" t="s">
        <v>34</v>
      </c>
      <c r="B13" s="15">
        <v>458562352</v>
      </c>
      <c r="C13" s="15">
        <v>411502164</v>
      </c>
      <c r="D13" s="15">
        <v>18888052</v>
      </c>
      <c r="E13" s="15">
        <v>756485125</v>
      </c>
      <c r="F13" s="15">
        <v>1645437693</v>
      </c>
    </row>
    <row r="14" spans="1:6">
      <c r="A14" s="127" t="s">
        <v>235</v>
      </c>
      <c r="B14" s="15"/>
      <c r="C14" s="15"/>
      <c r="D14" s="15"/>
      <c r="E14" s="15">
        <v>1354777</v>
      </c>
      <c r="F14" s="15">
        <v>1354777</v>
      </c>
    </row>
    <row r="15" spans="1:6">
      <c r="A15" s="127" t="s">
        <v>19</v>
      </c>
      <c r="B15" s="15"/>
      <c r="C15" s="15">
        <v>63290240</v>
      </c>
      <c r="D15" s="15">
        <v>51504750</v>
      </c>
      <c r="E15" s="15">
        <v>32150650</v>
      </c>
      <c r="F15" s="15">
        <v>146945640</v>
      </c>
    </row>
    <row r="16" spans="1:6">
      <c r="A16" s="127" t="s">
        <v>14</v>
      </c>
      <c r="B16" s="15"/>
      <c r="C16" s="15"/>
      <c r="D16" s="15">
        <v>-14552200</v>
      </c>
      <c r="E16" s="15"/>
      <c r="F16" s="15">
        <v>-14552200</v>
      </c>
    </row>
    <row r="17" spans="1:24">
      <c r="A17" s="127" t="s">
        <v>793</v>
      </c>
      <c r="B17" s="15">
        <v>30139380</v>
      </c>
      <c r="C17" s="15">
        <v>135921783</v>
      </c>
      <c r="D17" s="15">
        <v>113500750</v>
      </c>
      <c r="E17" s="15"/>
      <c r="F17" s="15">
        <v>279561913</v>
      </c>
    </row>
    <row r="18" spans="1:24">
      <c r="A18" s="127" t="s">
        <v>801</v>
      </c>
      <c r="B18" s="15">
        <v>158787344</v>
      </c>
      <c r="C18" s="15">
        <v>141660492</v>
      </c>
      <c r="D18" s="15">
        <v>67418142</v>
      </c>
      <c r="E18" s="15"/>
      <c r="F18" s="15">
        <v>367865978</v>
      </c>
    </row>
    <row r="19" spans="1:24">
      <c r="A19" s="127" t="s">
        <v>16</v>
      </c>
      <c r="B19" s="15"/>
      <c r="C19" s="15">
        <v>103498608</v>
      </c>
      <c r="D19" s="15">
        <v>252680475</v>
      </c>
      <c r="E19" s="15"/>
      <c r="F19" s="15">
        <v>356179083</v>
      </c>
    </row>
    <row r="20" spans="1:24">
      <c r="A20" s="127" t="s">
        <v>17</v>
      </c>
      <c r="B20" s="15"/>
      <c r="C20" s="15">
        <v>240753336</v>
      </c>
      <c r="D20" s="15">
        <v>150766900</v>
      </c>
      <c r="E20" s="15">
        <v>622436500</v>
      </c>
      <c r="F20" s="15">
        <v>1013956736</v>
      </c>
    </row>
    <row r="21" spans="1:24">
      <c r="A21" s="127" t="s">
        <v>18</v>
      </c>
      <c r="B21" s="15"/>
      <c r="C21" s="15">
        <v>717000</v>
      </c>
      <c r="D21" s="15">
        <v>124832150</v>
      </c>
      <c r="E21" s="15"/>
      <c r="F21" s="15">
        <v>125549150</v>
      </c>
    </row>
    <row r="22" spans="1:24">
      <c r="A22" s="127" t="s">
        <v>1050</v>
      </c>
      <c r="B22" s="15">
        <v>813015826</v>
      </c>
      <c r="C22" s="15">
        <v>1197177241</v>
      </c>
      <c r="D22" s="15">
        <v>1819979532</v>
      </c>
      <c r="E22" s="15">
        <v>1746361077</v>
      </c>
      <c r="F22" s="15">
        <v>5576533676</v>
      </c>
    </row>
    <row r="25" spans="1:24">
      <c r="A25" s="173" t="s">
        <v>702</v>
      </c>
      <c r="B25" s="127" t="s">
        <v>892</v>
      </c>
      <c r="L25" s="173" t="s">
        <v>702</v>
      </c>
      <c r="M25" s="127" t="s">
        <v>1053</v>
      </c>
    </row>
    <row r="26" spans="1:24">
      <c r="A26" s="173" t="s">
        <v>700</v>
      </c>
      <c r="B26" s="127" t="s">
        <v>1054</v>
      </c>
      <c r="L26" s="173" t="s">
        <v>700</v>
      </c>
      <c r="M26" s="127" t="s">
        <v>1054</v>
      </c>
    </row>
    <row r="27" spans="1:24">
      <c r="A27" s="173" t="s">
        <v>239</v>
      </c>
      <c r="B27" s="127" t="s">
        <v>1054</v>
      </c>
      <c r="L27" s="173" t="s">
        <v>239</v>
      </c>
      <c r="M27" s="127" t="s">
        <v>1054</v>
      </c>
    </row>
    <row r="29" spans="1:24">
      <c r="A29" s="173" t="s">
        <v>1052</v>
      </c>
      <c r="B29" s="173" t="s">
        <v>1049</v>
      </c>
      <c r="L29" s="173" t="s">
        <v>1052</v>
      </c>
      <c r="M29" s="173" t="s">
        <v>1049</v>
      </c>
    </row>
    <row r="30" spans="1:24" ht="45">
      <c r="A30" s="173" t="s">
        <v>1051</v>
      </c>
      <c r="B30">
        <v>2014</v>
      </c>
      <c r="C30">
        <v>2015</v>
      </c>
      <c r="D30">
        <v>2016</v>
      </c>
      <c r="E30">
        <v>2017</v>
      </c>
      <c r="F30" s="33" t="s">
        <v>1061</v>
      </c>
      <c r="G30" s="182" t="s">
        <v>1060</v>
      </c>
      <c r="H30" t="s">
        <v>1058</v>
      </c>
      <c r="I30" s="181" t="str">
        <f>'ריכוז נתונים מההסכמים'!G1</f>
        <v>מס' יחידות דיור לשנה (ממוצע)</v>
      </c>
      <c r="J30" s="33" t="s">
        <v>1062</v>
      </c>
      <c r="K30" s="31" t="str">
        <f>'ריכוז נתונים מההסכמים'!H1</f>
        <v>שנת כניסת ההסכם לתוקף</v>
      </c>
      <c r="L30" s="173" t="s">
        <v>1051</v>
      </c>
      <c r="M30">
        <v>2007</v>
      </c>
      <c r="N30">
        <v>2008</v>
      </c>
      <c r="O30">
        <v>2009</v>
      </c>
      <c r="P30">
        <v>2010</v>
      </c>
      <c r="Q30">
        <v>2011</v>
      </c>
      <c r="R30">
        <v>2012</v>
      </c>
      <c r="S30">
        <v>2013</v>
      </c>
      <c r="T30">
        <v>2014</v>
      </c>
      <c r="U30">
        <v>2015</v>
      </c>
      <c r="V30">
        <v>2016</v>
      </c>
      <c r="W30">
        <v>2017</v>
      </c>
      <c r="X30" s="33" t="s">
        <v>1059</v>
      </c>
    </row>
    <row r="31" spans="1:24">
      <c r="A31" s="127" t="s">
        <v>10</v>
      </c>
      <c r="B31" s="15"/>
      <c r="C31" s="15"/>
      <c r="D31" s="15">
        <v>917</v>
      </c>
      <c r="E31" s="15"/>
      <c r="F31" s="15">
        <v>917</v>
      </c>
      <c r="G31" s="15">
        <f>SUM(T31:W31)</f>
        <v>3099</v>
      </c>
      <c r="H31" s="13">
        <f>'ריכוז נתונים מההסכמים'!E2</f>
        <v>18191</v>
      </c>
      <c r="I31" s="31">
        <f>'ריכוז נתונים מההסכמים'!G2</f>
        <v>2000</v>
      </c>
      <c r="K31" s="31" t="str">
        <f>'ריכוז נתונים מההסכמים'!H2</f>
        <v>אוקטובר 2015</v>
      </c>
      <c r="L31" s="127" t="s">
        <v>10</v>
      </c>
      <c r="M31" s="15"/>
      <c r="N31" s="15"/>
      <c r="O31" s="15"/>
      <c r="P31" s="15"/>
      <c r="Q31" s="15"/>
      <c r="R31" s="15"/>
      <c r="S31" s="15"/>
      <c r="T31" s="15">
        <v>749</v>
      </c>
      <c r="U31" s="15">
        <v>1343</v>
      </c>
      <c r="V31" s="15">
        <v>1005</v>
      </c>
      <c r="W31" s="15">
        <v>2</v>
      </c>
      <c r="X31" s="15">
        <v>3099</v>
      </c>
    </row>
    <row r="32" spans="1:24">
      <c r="A32" s="127" t="s">
        <v>11</v>
      </c>
      <c r="B32" s="15">
        <v>822</v>
      </c>
      <c r="C32" s="15">
        <v>537</v>
      </c>
      <c r="D32" s="15">
        <v>1427</v>
      </c>
      <c r="E32" s="15">
        <v>2056</v>
      </c>
      <c r="F32" s="15">
        <v>4842</v>
      </c>
      <c r="G32" s="15">
        <f>SUM(T32:W32)</f>
        <v>5787</v>
      </c>
      <c r="H32" s="13">
        <f>'ריכוז נתונים מההסכמים'!E3</f>
        <v>18140</v>
      </c>
      <c r="I32" s="31">
        <f>'ריכוז נתונים מההסכמים'!G3</f>
        <v>3215</v>
      </c>
      <c r="K32" s="31" t="str">
        <f>'ריכוז נתונים מההסכמים'!H3</f>
        <v>אוקטובר 2015 (תקף ליח"ד ששווקו ב-2014)</v>
      </c>
      <c r="L32" s="127" t="s">
        <v>11</v>
      </c>
      <c r="M32" s="15"/>
      <c r="N32" s="15"/>
      <c r="O32" s="15"/>
      <c r="P32" s="15"/>
      <c r="Q32" s="15"/>
      <c r="R32" s="15"/>
      <c r="S32" s="15"/>
      <c r="T32" s="15">
        <v>1649</v>
      </c>
      <c r="U32" s="15">
        <v>538</v>
      </c>
      <c r="V32" s="15">
        <v>1544</v>
      </c>
      <c r="W32" s="15">
        <v>2056</v>
      </c>
      <c r="X32" s="15">
        <v>5787</v>
      </c>
    </row>
    <row r="33" spans="1:24">
      <c r="A33" s="127" t="s">
        <v>35</v>
      </c>
      <c r="B33" s="15"/>
      <c r="C33" s="15"/>
      <c r="D33" s="15"/>
      <c r="E33" s="15">
        <v>68</v>
      </c>
      <c r="F33" s="15">
        <v>68</v>
      </c>
      <c r="G33" s="15">
        <f>SUM(T33:W33)</f>
        <v>68</v>
      </c>
      <c r="H33" s="13" t="e">
        <f>'ריכוז נתונים מההסכמים'!#REF!</f>
        <v>#REF!</v>
      </c>
      <c r="I33" s="31" t="e">
        <f>'ריכוז נתונים מההסכמים'!#REF!</f>
        <v>#REF!</v>
      </c>
      <c r="K33" s="180" t="e">
        <f>'ריכוז נתונים מההסכמים'!#REF!</f>
        <v>#REF!</v>
      </c>
      <c r="L33" s="127" t="s">
        <v>35</v>
      </c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>
        <v>68</v>
      </c>
      <c r="X33" s="15">
        <v>68</v>
      </c>
    </row>
    <row r="34" spans="1:24">
      <c r="A34" s="127" t="s">
        <v>13</v>
      </c>
      <c r="B34" s="15"/>
      <c r="C34" s="15"/>
      <c r="D34" s="15">
        <v>1468</v>
      </c>
      <c r="E34" s="15"/>
      <c r="F34" s="15">
        <v>1468</v>
      </c>
      <c r="G34" s="15">
        <f>SUM(T34:W34)</f>
        <v>1468</v>
      </c>
      <c r="H34" s="13" t="e">
        <f>'ריכוז נתונים מההסכמים'!#REF!</f>
        <v>#REF!</v>
      </c>
      <c r="I34" s="31" t="e">
        <f>'ריכוז נתונים מההסכמים'!#REF!</f>
        <v>#REF!</v>
      </c>
      <c r="K34" s="31" t="e">
        <f>'ריכוז נתונים מההסכמים'!#REF!</f>
        <v>#REF!</v>
      </c>
      <c r="L34" s="127" t="s">
        <v>13</v>
      </c>
      <c r="M34" s="15"/>
      <c r="N34" s="15"/>
      <c r="O34" s="15"/>
      <c r="P34" s="15"/>
      <c r="Q34" s="15"/>
      <c r="R34" s="15"/>
      <c r="S34" s="15"/>
      <c r="T34" s="15"/>
      <c r="U34" s="15"/>
      <c r="V34" s="15">
        <v>1468</v>
      </c>
      <c r="W34" s="15"/>
      <c r="X34" s="15">
        <v>1468</v>
      </c>
    </row>
    <row r="35" spans="1:24">
      <c r="A35" s="127" t="s">
        <v>146</v>
      </c>
      <c r="B35" s="15">
        <v>876</v>
      </c>
      <c r="C35" s="15">
        <v>117</v>
      </c>
      <c r="D35" s="15">
        <v>1590</v>
      </c>
      <c r="E35" s="15"/>
      <c r="F35" s="15">
        <v>2583</v>
      </c>
      <c r="G35" s="15">
        <f>SUM(T37:W37)</f>
        <v>2604</v>
      </c>
      <c r="H35" s="13">
        <f>'ריכוז נתונים מההסכמים'!E13</f>
        <v>10160</v>
      </c>
      <c r="I35" s="31">
        <f>'ריכוז נתונים מההסכמים'!G13</f>
        <v>2000</v>
      </c>
      <c r="K35" s="31" t="str">
        <f>'ריכוז נתונים מההסכמים'!H13</f>
        <v>ספטמבר 2016 (תקף ליחידות ששווקו ב-2015)</v>
      </c>
      <c r="L35" s="127" t="s">
        <v>980</v>
      </c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</row>
    <row r="36" spans="1:24">
      <c r="A36" s="127" t="s">
        <v>147</v>
      </c>
      <c r="B36" s="15"/>
      <c r="C36" s="15"/>
      <c r="D36" s="15"/>
      <c r="E36" s="15">
        <v>2035</v>
      </c>
      <c r="F36" s="15">
        <v>2035</v>
      </c>
      <c r="G36" s="15">
        <f>SUM(T38:W38)</f>
        <v>2267</v>
      </c>
      <c r="H36" s="13">
        <f>'ריכוז נתונים מההסכמים'!E12</f>
        <v>12699</v>
      </c>
      <c r="I36" s="31">
        <f>'ריכוז נתונים מההסכמים'!G12</f>
        <v>2000</v>
      </c>
      <c r="K36" s="31" t="str">
        <f>'ריכוז נתונים מההסכמים'!H12</f>
        <v>אוגוסט 2016</v>
      </c>
      <c r="L36" s="127" t="s">
        <v>979</v>
      </c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</row>
    <row r="37" spans="1:24">
      <c r="A37" s="127" t="s">
        <v>34</v>
      </c>
      <c r="B37" s="15">
        <v>1725</v>
      </c>
      <c r="C37" s="15">
        <v>1337</v>
      </c>
      <c r="D37" s="15">
        <v>120</v>
      </c>
      <c r="E37" s="15">
        <v>3607</v>
      </c>
      <c r="F37" s="15">
        <v>6789</v>
      </c>
      <c r="G37" s="15">
        <f>SUM(T42:W42)</f>
        <v>6789</v>
      </c>
      <c r="H37" s="13">
        <f>'ריכוז נתונים מההסכמים'!E5</f>
        <v>11684</v>
      </c>
      <c r="I37" s="31">
        <f>'ריכוז נתונים מההסכמים'!G5</f>
        <v>3894.6666666666665</v>
      </c>
      <c r="K37" s="31" t="str">
        <f>'ריכוז נתונים מההסכמים'!H5</f>
        <v>ינואר 2014</v>
      </c>
      <c r="L37" s="127" t="s">
        <v>146</v>
      </c>
      <c r="M37" s="15"/>
      <c r="N37" s="15"/>
      <c r="O37" s="15"/>
      <c r="P37" s="15"/>
      <c r="Q37" s="15"/>
      <c r="R37" s="15"/>
      <c r="S37" s="15"/>
      <c r="T37" s="15">
        <v>876</v>
      </c>
      <c r="U37" s="15">
        <v>117</v>
      </c>
      <c r="V37" s="15">
        <v>1611</v>
      </c>
      <c r="W37" s="15"/>
      <c r="X37" s="15">
        <v>2604</v>
      </c>
    </row>
    <row r="38" spans="1:24">
      <c r="A38" s="127" t="s">
        <v>235</v>
      </c>
      <c r="B38" s="15"/>
      <c r="C38" s="15"/>
      <c r="D38" s="15"/>
      <c r="E38" s="15">
        <v>117</v>
      </c>
      <c r="F38" s="15">
        <v>117</v>
      </c>
      <c r="G38" s="15">
        <f>SUM(T43:W43)</f>
        <v>117</v>
      </c>
      <c r="H38" s="13" t="e">
        <f>'ריכוז נתונים מההסכמים'!#REF!</f>
        <v>#REF!</v>
      </c>
      <c r="I38" s="31" t="e">
        <f>'ריכוז נתונים מההסכמים'!#REF!</f>
        <v>#REF!</v>
      </c>
      <c r="K38" s="31" t="e">
        <f>'ריכוז נתונים מההסכמים'!#REF!</f>
        <v>#REF!</v>
      </c>
      <c r="L38" s="127" t="s">
        <v>147</v>
      </c>
      <c r="M38" s="15"/>
      <c r="N38" s="15"/>
      <c r="O38" s="15"/>
      <c r="P38" s="15"/>
      <c r="Q38" s="15"/>
      <c r="R38" s="15"/>
      <c r="S38" s="15"/>
      <c r="T38" s="15">
        <v>224</v>
      </c>
      <c r="U38" s="15">
        <v>8</v>
      </c>
      <c r="V38" s="15"/>
      <c r="W38" s="15">
        <v>2035</v>
      </c>
      <c r="X38" s="15">
        <v>2267</v>
      </c>
    </row>
    <row r="39" spans="1:24">
      <c r="A39" s="127" t="s">
        <v>19</v>
      </c>
      <c r="B39" s="15"/>
      <c r="C39" s="15"/>
      <c r="D39" s="15">
        <v>240</v>
      </c>
      <c r="E39" s="15">
        <v>166</v>
      </c>
      <c r="F39" s="15">
        <v>406</v>
      </c>
      <c r="G39" s="15">
        <f>SUM(T44:W44)</f>
        <v>1606</v>
      </c>
      <c r="H39" s="13">
        <f>'ריכוז נתונים מההסכמים'!E11</f>
        <v>12288</v>
      </c>
      <c r="I39" s="31">
        <f>'ריכוז נתונים מההסכמים'!G11</f>
        <v>2000</v>
      </c>
      <c r="K39" s="31" t="str">
        <f>'ריכוז נתונים מההסכמים'!H11</f>
        <v>אפריל 2016</v>
      </c>
      <c r="L39" s="127" t="s">
        <v>971</v>
      </c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</row>
    <row r="40" spans="1:24">
      <c r="A40" s="127" t="s">
        <v>14</v>
      </c>
      <c r="B40" s="15"/>
      <c r="C40" s="15"/>
      <c r="D40" s="15">
        <v>92</v>
      </c>
      <c r="E40" s="15"/>
      <c r="F40" s="15">
        <v>92</v>
      </c>
      <c r="G40" s="15">
        <f>SUM(T46:W46)</f>
        <v>92</v>
      </c>
      <c r="H40" s="13">
        <f>'ריכוז נתונים מההסכמים'!E6</f>
        <v>13136</v>
      </c>
      <c r="I40" s="31">
        <f>'ריכוז נתונים מההסכמים'!G6</f>
        <v>2000</v>
      </c>
      <c r="K40" s="180" t="str">
        <f>'ריכוז נתונים מההסכמים'!H6</f>
        <v>ספטמבר 2016</v>
      </c>
      <c r="L40" s="127" t="s">
        <v>933</v>
      </c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</row>
    <row r="41" spans="1:24">
      <c r="A41" s="127" t="s">
        <v>793</v>
      </c>
      <c r="B41" s="15">
        <v>100</v>
      </c>
      <c r="C41" s="15">
        <v>682</v>
      </c>
      <c r="D41" s="15">
        <v>1128</v>
      </c>
      <c r="E41" s="15"/>
      <c r="F41" s="15">
        <v>1910</v>
      </c>
      <c r="G41" s="15">
        <f>SUM(T47:W47)</f>
        <v>1910</v>
      </c>
      <c r="H41" s="13">
        <f>'ריכוז נתונים מההסכמים'!E4</f>
        <v>4573</v>
      </c>
      <c r="I41" s="31">
        <f>'ריכוז נתונים מההסכמים'!G4</f>
        <v>914.6</v>
      </c>
      <c r="K41" s="31" t="str">
        <f>'ריכוז נתונים מההסכמים'!H4</f>
        <v>ינואר 2014</v>
      </c>
      <c r="L41" s="127" t="s">
        <v>959</v>
      </c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</row>
    <row r="42" spans="1:24">
      <c r="A42" s="127" t="s">
        <v>801</v>
      </c>
      <c r="B42" s="15">
        <v>2242</v>
      </c>
      <c r="C42" s="15">
        <v>1609</v>
      </c>
      <c r="D42" s="15">
        <v>1309</v>
      </c>
      <c r="E42" s="15"/>
      <c r="F42" s="15">
        <v>5160</v>
      </c>
      <c r="G42" s="15">
        <f>SUM(T48:W48)</f>
        <v>5693</v>
      </c>
      <c r="H42" s="13">
        <f>'ריכוז נתונים מההסכמים'!E7</f>
        <v>6442</v>
      </c>
      <c r="I42" s="31">
        <f>'ריכוז נתונים מההסכמים'!G7</f>
        <v>2147.3333333333335</v>
      </c>
      <c r="K42" s="31" t="str">
        <f>'ריכוז נתונים מההסכמים'!H7</f>
        <v>נובמבר 2013</v>
      </c>
      <c r="L42" s="127" t="s">
        <v>34</v>
      </c>
      <c r="M42" s="15"/>
      <c r="N42" s="15"/>
      <c r="O42" s="15"/>
      <c r="P42" s="15"/>
      <c r="Q42" s="15"/>
      <c r="R42" s="15"/>
      <c r="S42" s="15"/>
      <c r="T42" s="15">
        <v>1725</v>
      </c>
      <c r="U42" s="15">
        <v>1337</v>
      </c>
      <c r="V42" s="15">
        <v>120</v>
      </c>
      <c r="W42" s="15">
        <v>3607</v>
      </c>
      <c r="X42" s="15">
        <v>6789</v>
      </c>
    </row>
    <row r="43" spans="1:24">
      <c r="A43" s="127" t="s">
        <v>16</v>
      </c>
      <c r="B43" s="15"/>
      <c r="C43" s="15">
        <v>1903</v>
      </c>
      <c r="D43" s="15">
        <v>2673</v>
      </c>
      <c r="E43" s="15"/>
      <c r="F43" s="15">
        <v>4576</v>
      </c>
      <c r="G43" s="15">
        <f>SUM(T50:W50)</f>
        <v>4580</v>
      </c>
      <c r="H43" s="13">
        <f>'ריכוז נתונים מההסכמים'!E8</f>
        <v>9436</v>
      </c>
      <c r="I43" s="31">
        <f>'ריכוז נתונים מההסכמים'!G8</f>
        <v>2359</v>
      </c>
      <c r="K43" s="31" t="str">
        <f>'ריכוז נתונים מההסכמים'!H8</f>
        <v>פברואר 2014</v>
      </c>
      <c r="L43" s="127" t="s">
        <v>235</v>
      </c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>
        <v>117</v>
      </c>
      <c r="X43" s="15">
        <v>117</v>
      </c>
    </row>
    <row r="44" spans="1:24">
      <c r="A44" s="127" t="s">
        <v>17</v>
      </c>
      <c r="B44" s="15"/>
      <c r="C44" s="15">
        <v>1030</v>
      </c>
      <c r="D44" s="15">
        <v>654</v>
      </c>
      <c r="E44" s="15">
        <v>2794</v>
      </c>
      <c r="F44" s="15">
        <v>4478</v>
      </c>
      <c r="G44" s="15">
        <f>SUM(T51:W51)</f>
        <v>4635.47</v>
      </c>
      <c r="H44" s="13">
        <f>'ריכוז נתונים מההסכמים'!E9</f>
        <v>16393</v>
      </c>
      <c r="I44" s="31">
        <f>'ריכוז נתונים מההסכמים'!G9</f>
        <v>4098.25</v>
      </c>
      <c r="K44" s="31" t="str">
        <f>'ריכוז נתונים מההסכמים'!H9</f>
        <v>נובמבר 2014</v>
      </c>
      <c r="L44" s="127" t="s">
        <v>19</v>
      </c>
      <c r="M44" s="15"/>
      <c r="N44" s="15"/>
      <c r="O44" s="15"/>
      <c r="P44" s="15"/>
      <c r="Q44" s="15"/>
      <c r="R44" s="15"/>
      <c r="S44" s="15"/>
      <c r="T44" s="15"/>
      <c r="U44" s="15"/>
      <c r="V44" s="15">
        <v>1440</v>
      </c>
      <c r="W44" s="15">
        <v>166</v>
      </c>
      <c r="X44" s="15">
        <v>1606</v>
      </c>
    </row>
    <row r="45" spans="1:24">
      <c r="A45" s="127" t="s">
        <v>18</v>
      </c>
      <c r="B45" s="15"/>
      <c r="C45" s="15">
        <v>2</v>
      </c>
      <c r="D45" s="15">
        <v>800</v>
      </c>
      <c r="E45" s="15"/>
      <c r="F45" s="15">
        <v>802</v>
      </c>
      <c r="G45" s="15">
        <f>SUM(T52:W52)</f>
        <v>802</v>
      </c>
      <c r="H45" s="13">
        <f>'ריכוז נתונים מההסכמים'!E10</f>
        <v>7483</v>
      </c>
      <c r="I45" s="31">
        <f>'ריכוז נתונים מההסכמים'!G10</f>
        <v>2494.3333333333335</v>
      </c>
      <c r="K45" s="31" t="str">
        <f>'ריכוז נתונים מההסכמים'!H10</f>
        <v>יולי 2015</v>
      </c>
      <c r="L45" s="127" t="s">
        <v>950</v>
      </c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</row>
    <row r="46" spans="1:24">
      <c r="A46" s="127" t="s">
        <v>1061</v>
      </c>
      <c r="B46" s="15">
        <v>5765</v>
      </c>
      <c r="C46" s="15">
        <v>7217</v>
      </c>
      <c r="D46" s="15">
        <v>12418</v>
      </c>
      <c r="E46" s="15">
        <v>10843</v>
      </c>
      <c r="F46" s="15">
        <v>36243</v>
      </c>
      <c r="G46" s="15"/>
      <c r="L46" s="127" t="s">
        <v>14</v>
      </c>
      <c r="M46" s="15"/>
      <c r="N46" s="15"/>
      <c r="O46" s="15"/>
      <c r="P46" s="15"/>
      <c r="Q46" s="15"/>
      <c r="R46" s="15"/>
      <c r="S46" s="15"/>
      <c r="T46" s="15"/>
      <c r="U46" s="15"/>
      <c r="V46" s="15">
        <v>92</v>
      </c>
      <c r="W46" s="15"/>
      <c r="X46" s="15">
        <v>92</v>
      </c>
    </row>
    <row r="47" spans="1:24">
      <c r="G47" s="15"/>
      <c r="L47" s="127" t="s">
        <v>793</v>
      </c>
      <c r="M47" s="15"/>
      <c r="N47" s="15"/>
      <c r="O47" s="15"/>
      <c r="P47" s="15"/>
      <c r="Q47" s="15"/>
      <c r="R47" s="15"/>
      <c r="S47" s="15"/>
      <c r="T47" s="15">
        <v>100</v>
      </c>
      <c r="U47" s="15">
        <v>682</v>
      </c>
      <c r="V47" s="15">
        <v>1128</v>
      </c>
      <c r="W47" s="15"/>
      <c r="X47" s="15">
        <v>1910</v>
      </c>
    </row>
    <row r="48" spans="1:24">
      <c r="L48" s="127" t="s">
        <v>801</v>
      </c>
      <c r="M48" s="15"/>
      <c r="N48" s="15"/>
      <c r="O48" s="15"/>
      <c r="P48" s="15"/>
      <c r="Q48" s="15"/>
      <c r="R48" s="15"/>
      <c r="S48" s="15">
        <v>274</v>
      </c>
      <c r="T48" s="15">
        <v>2280</v>
      </c>
      <c r="U48" s="15">
        <v>1609</v>
      </c>
      <c r="V48" s="15">
        <v>1314</v>
      </c>
      <c r="W48" s="15">
        <v>490</v>
      </c>
      <c r="X48" s="15">
        <v>5967</v>
      </c>
    </row>
    <row r="49" spans="1:24">
      <c r="A49" s="173" t="s">
        <v>702</v>
      </c>
      <c r="B49" s="127" t="s">
        <v>892</v>
      </c>
      <c r="L49" s="127" t="s">
        <v>978</v>
      </c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</row>
    <row r="50" spans="1:24">
      <c r="A50" s="173" t="s">
        <v>700</v>
      </c>
      <c r="B50" s="127" t="s">
        <v>1054</v>
      </c>
      <c r="L50" s="127" t="s">
        <v>16</v>
      </c>
      <c r="M50" s="15">
        <v>5</v>
      </c>
      <c r="N50" s="15">
        <v>11</v>
      </c>
      <c r="O50" s="15">
        <v>1074</v>
      </c>
      <c r="P50" s="15">
        <v>12</v>
      </c>
      <c r="Q50" s="15">
        <v>1315</v>
      </c>
      <c r="R50" s="15">
        <v>1277</v>
      </c>
      <c r="S50" s="15">
        <v>54</v>
      </c>
      <c r="T50" s="15"/>
      <c r="U50" s="15">
        <v>1907</v>
      </c>
      <c r="V50" s="15">
        <v>2673</v>
      </c>
      <c r="W50" s="15"/>
      <c r="X50" s="15">
        <v>8328</v>
      </c>
    </row>
    <row r="51" spans="1:24">
      <c r="A51" s="173" t="s">
        <v>239</v>
      </c>
      <c r="B51" s="127" t="s">
        <v>1054</v>
      </c>
      <c r="L51" s="127" t="s">
        <v>17</v>
      </c>
      <c r="M51" s="15"/>
      <c r="N51" s="15"/>
      <c r="O51" s="15"/>
      <c r="P51" s="15"/>
      <c r="Q51" s="15"/>
      <c r="R51" s="15"/>
      <c r="S51" s="15"/>
      <c r="T51" s="15">
        <v>54</v>
      </c>
      <c r="U51" s="15">
        <v>1109.47</v>
      </c>
      <c r="V51" s="15">
        <v>654</v>
      </c>
      <c r="W51" s="15">
        <v>2818</v>
      </c>
      <c r="X51" s="15">
        <v>4635.47</v>
      </c>
    </row>
    <row r="52" spans="1:24">
      <c r="L52" s="127" t="s">
        <v>18</v>
      </c>
      <c r="M52" s="15"/>
      <c r="N52" s="15"/>
      <c r="O52" s="15"/>
      <c r="P52" s="15"/>
      <c r="Q52" s="15"/>
      <c r="R52" s="15"/>
      <c r="S52" s="15"/>
      <c r="T52" s="15"/>
      <c r="U52" s="15">
        <v>2</v>
      </c>
      <c r="V52" s="15">
        <v>800</v>
      </c>
      <c r="W52" s="15"/>
      <c r="X52" s="15">
        <v>802</v>
      </c>
    </row>
    <row r="53" spans="1:24">
      <c r="A53" s="173" t="s">
        <v>1057</v>
      </c>
      <c r="B53" s="173" t="s">
        <v>1049</v>
      </c>
      <c r="L53" s="127" t="s">
        <v>977</v>
      </c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</row>
    <row r="54" spans="1:24">
      <c r="A54" s="173" t="s">
        <v>1051</v>
      </c>
      <c r="B54">
        <v>2014</v>
      </c>
      <c r="C54">
        <v>2015</v>
      </c>
      <c r="D54">
        <v>2016</v>
      </c>
      <c r="E54">
        <v>2017</v>
      </c>
      <c r="F54" t="s">
        <v>1050</v>
      </c>
      <c r="L54" s="127" t="s">
        <v>1059</v>
      </c>
      <c r="M54" s="15">
        <v>5</v>
      </c>
      <c r="N54" s="15">
        <v>11</v>
      </c>
      <c r="O54" s="15">
        <v>1074</v>
      </c>
      <c r="P54" s="15">
        <v>12</v>
      </c>
      <c r="Q54" s="15">
        <v>1315</v>
      </c>
      <c r="R54" s="15">
        <v>1277</v>
      </c>
      <c r="S54" s="15">
        <v>328</v>
      </c>
      <c r="T54" s="15">
        <v>7657</v>
      </c>
      <c r="U54" s="15">
        <v>8652.4699999999993</v>
      </c>
      <c r="V54" s="15">
        <v>13849</v>
      </c>
      <c r="W54" s="15">
        <v>11359</v>
      </c>
      <c r="X54" s="15">
        <v>45539.47</v>
      </c>
    </row>
    <row r="55" spans="1:24">
      <c r="A55" s="127" t="s">
        <v>10</v>
      </c>
      <c r="B55" s="15"/>
      <c r="C55" s="15"/>
      <c r="D55" s="15">
        <v>86111179</v>
      </c>
      <c r="E55" s="15"/>
      <c r="F55" s="15">
        <v>86111179</v>
      </c>
    </row>
    <row r="56" spans="1:24">
      <c r="A56" s="127" t="s">
        <v>11</v>
      </c>
      <c r="B56" s="15">
        <v>103890377</v>
      </c>
      <c r="C56" s="15">
        <v>257599543</v>
      </c>
      <c r="D56" s="15">
        <v>512663878</v>
      </c>
      <c r="E56" s="15">
        <v>345249040</v>
      </c>
      <c r="F56" s="15">
        <v>1219402838</v>
      </c>
    </row>
    <row r="57" spans="1:24">
      <c r="A57" s="127" t="s">
        <v>35</v>
      </c>
      <c r="B57" s="15"/>
      <c r="C57" s="15"/>
      <c r="D57" s="15"/>
      <c r="E57" s="15">
        <v>22526322</v>
      </c>
      <c r="F57" s="15">
        <v>22526322</v>
      </c>
    </row>
    <row r="58" spans="1:24">
      <c r="A58" s="127" t="s">
        <v>13</v>
      </c>
      <c r="B58" s="15"/>
      <c r="C58" s="15"/>
      <c r="D58" s="15">
        <v>237957984</v>
      </c>
      <c r="E58" s="15"/>
      <c r="F58" s="15">
        <v>237957984</v>
      </c>
    </row>
    <row r="59" spans="1:24">
      <c r="A59" s="127" t="s">
        <v>146</v>
      </c>
      <c r="B59" s="15">
        <v>113452799</v>
      </c>
      <c r="C59" s="15">
        <v>39495178</v>
      </c>
      <c r="D59" s="15">
        <v>214792626</v>
      </c>
      <c r="E59" s="15"/>
      <c r="F59" s="15">
        <v>367740603</v>
      </c>
    </row>
    <row r="60" spans="1:24">
      <c r="A60" s="127" t="s">
        <v>147</v>
      </c>
      <c r="B60" s="15"/>
      <c r="C60" s="15"/>
      <c r="D60" s="15"/>
      <c r="E60" s="15">
        <v>532407632</v>
      </c>
      <c r="F60" s="15">
        <v>532407632</v>
      </c>
    </row>
    <row r="61" spans="1:24">
      <c r="A61" s="127" t="s">
        <v>34</v>
      </c>
      <c r="B61" s="15">
        <v>356214385</v>
      </c>
      <c r="C61" s="15">
        <v>305857884</v>
      </c>
      <c r="D61" s="15">
        <v>12450904</v>
      </c>
      <c r="E61" s="15">
        <v>772614087</v>
      </c>
      <c r="F61" s="15">
        <v>1447137260</v>
      </c>
    </row>
    <row r="62" spans="1:24">
      <c r="A62" s="127" t="s">
        <v>235</v>
      </c>
      <c r="B62" s="15"/>
      <c r="C62" s="15"/>
      <c r="D62" s="15"/>
      <c r="E62" s="15">
        <v>27308040</v>
      </c>
      <c r="F62" s="15">
        <v>27308040</v>
      </c>
    </row>
    <row r="63" spans="1:24">
      <c r="A63" s="127" t="s">
        <v>19</v>
      </c>
      <c r="B63" s="15"/>
      <c r="C63" s="15">
        <v>6139026</v>
      </c>
      <c r="D63" s="15">
        <v>33828272</v>
      </c>
      <c r="E63" s="15">
        <v>21131447</v>
      </c>
      <c r="F63" s="15">
        <v>61098745</v>
      </c>
    </row>
    <row r="64" spans="1:24">
      <c r="A64" s="127" t="s">
        <v>14</v>
      </c>
      <c r="B64" s="15"/>
      <c r="C64" s="15"/>
      <c r="D64" s="15">
        <v>7129854</v>
      </c>
      <c r="E64" s="15"/>
      <c r="F64" s="15">
        <v>7129854</v>
      </c>
    </row>
    <row r="65" spans="1:6">
      <c r="A65" s="127" t="s">
        <v>793</v>
      </c>
      <c r="B65" s="15">
        <v>6718375</v>
      </c>
      <c r="C65" s="15">
        <v>109230901</v>
      </c>
      <c r="D65" s="15">
        <v>257742256</v>
      </c>
      <c r="E65" s="15"/>
      <c r="F65" s="15">
        <v>373691532</v>
      </c>
    </row>
    <row r="66" spans="1:6">
      <c r="A66" s="127" t="s">
        <v>801</v>
      </c>
      <c r="B66" s="15">
        <v>307532531</v>
      </c>
      <c r="C66" s="15">
        <v>277132478</v>
      </c>
      <c r="D66" s="15">
        <v>253088574</v>
      </c>
      <c r="E66" s="15"/>
      <c r="F66" s="15">
        <v>837753583</v>
      </c>
    </row>
    <row r="67" spans="1:6">
      <c r="A67" s="127" t="s">
        <v>16</v>
      </c>
      <c r="B67" s="15"/>
      <c r="C67" s="15">
        <v>464353203</v>
      </c>
      <c r="D67" s="15">
        <v>562665516</v>
      </c>
      <c r="E67" s="15"/>
      <c r="F67" s="15">
        <v>1027018719</v>
      </c>
    </row>
    <row r="68" spans="1:6">
      <c r="A68" s="127" t="s">
        <v>17</v>
      </c>
      <c r="B68" s="15"/>
      <c r="C68" s="15">
        <v>132269165</v>
      </c>
      <c r="D68" s="15">
        <v>76684818</v>
      </c>
      <c r="E68" s="15">
        <v>409988122</v>
      </c>
      <c r="F68" s="15">
        <v>618942105</v>
      </c>
    </row>
    <row r="69" spans="1:6">
      <c r="A69" s="127" t="s">
        <v>18</v>
      </c>
      <c r="B69" s="15"/>
      <c r="C69" s="15">
        <v>0</v>
      </c>
      <c r="D69" s="15">
        <v>113657187</v>
      </c>
      <c r="E69" s="15"/>
      <c r="F69" s="15">
        <v>113657187</v>
      </c>
    </row>
    <row r="70" spans="1:6">
      <c r="A70" s="127" t="s">
        <v>1050</v>
      </c>
      <c r="B70" s="15">
        <v>887808467</v>
      </c>
      <c r="C70" s="15">
        <v>1592077378</v>
      </c>
      <c r="D70" s="15">
        <v>2368773048</v>
      </c>
      <c r="E70" s="15">
        <v>2131224690</v>
      </c>
      <c r="F70" s="15">
        <v>6979883583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 filterMode="1"/>
  <dimension ref="A1:AP2477"/>
  <sheetViews>
    <sheetView rightToLeft="1" topLeftCell="O1" zoomScale="80" zoomScaleNormal="80" workbookViewId="0">
      <pane ySplit="2" topLeftCell="A130" activePane="bottomLeft" state="frozen"/>
      <selection activeCell="G124" sqref="G124"/>
      <selection pane="bottomLeft" activeCell="U2420" sqref="U2420"/>
    </sheetView>
  </sheetViews>
  <sheetFormatPr defaultRowHeight="15"/>
  <cols>
    <col min="1" max="1" width="17.28515625" bestFit="1" customWidth="1"/>
    <col min="2" max="2" width="46.85546875" bestFit="1" customWidth="1"/>
    <col min="3" max="3" width="16.28515625" bestFit="1" customWidth="1"/>
    <col min="4" max="4" width="20" bestFit="1" customWidth="1"/>
    <col min="5" max="5" width="24" bestFit="1" customWidth="1"/>
    <col min="6" max="6" width="17.140625" bestFit="1" customWidth="1"/>
    <col min="7" max="8" width="23" bestFit="1" customWidth="1"/>
    <col min="9" max="9" width="18.5703125" customWidth="1"/>
    <col min="10" max="10" width="45.5703125" bestFit="1" customWidth="1"/>
    <col min="11" max="12" width="13.28515625" customWidth="1"/>
    <col min="13" max="13" width="29.7109375" style="140" customWidth="1"/>
    <col min="14" max="14" width="18.85546875" style="130" customWidth="1"/>
    <col min="15" max="15" width="33.5703125" style="130" customWidth="1"/>
    <col min="16" max="16" width="18.85546875" style="130" customWidth="1"/>
    <col min="17" max="17" width="10.7109375" style="130" customWidth="1"/>
    <col min="18" max="18" width="23" style="130" customWidth="1"/>
    <col min="19" max="19" width="24.85546875" style="130" customWidth="1"/>
    <col min="20" max="22" width="18.85546875" style="130" customWidth="1"/>
    <col min="23" max="23" width="18.85546875" style="10" customWidth="1"/>
    <col min="24" max="24" width="12.28515625" bestFit="1" customWidth="1"/>
    <col min="25" max="25" width="12.85546875" bestFit="1" customWidth="1"/>
    <col min="26" max="26" width="11.5703125" bestFit="1" customWidth="1"/>
    <col min="27" max="27" width="15.28515625" bestFit="1" customWidth="1"/>
    <col min="28" max="28" width="14.28515625" bestFit="1" customWidth="1"/>
    <col min="29" max="29" width="14.85546875" bestFit="1" customWidth="1"/>
    <col min="30" max="30" width="15.5703125" customWidth="1"/>
    <col min="31" max="31" width="12.5703125" bestFit="1" customWidth="1"/>
    <col min="32" max="32" width="14.28515625" bestFit="1" customWidth="1"/>
    <col min="37" max="37" width="17.28515625" customWidth="1"/>
    <col min="38" max="38" width="26" customWidth="1"/>
    <col min="39" max="39" width="14.28515625" bestFit="1" customWidth="1"/>
    <col min="40" max="40" width="24.85546875" bestFit="1" customWidth="1"/>
    <col min="41" max="41" width="23" customWidth="1"/>
  </cols>
  <sheetData>
    <row r="1" spans="1:42" ht="15.75" thickBot="1">
      <c r="A1" s="33" t="s">
        <v>0</v>
      </c>
      <c r="B1" t="s">
        <v>236</v>
      </c>
      <c r="C1" t="s">
        <v>237</v>
      </c>
      <c r="D1" t="s">
        <v>816</v>
      </c>
      <c r="E1" t="s">
        <v>1044</v>
      </c>
      <c r="F1" t="s">
        <v>818</v>
      </c>
      <c r="G1" t="s">
        <v>1045</v>
      </c>
      <c r="H1" t="s">
        <v>1046</v>
      </c>
      <c r="I1" t="s">
        <v>837</v>
      </c>
      <c r="J1" t="s">
        <v>838</v>
      </c>
      <c r="K1" t="s">
        <v>814</v>
      </c>
      <c r="L1" s="14">
        <v>0.25</v>
      </c>
    </row>
    <row r="2" spans="1:42" ht="45.75" thickBot="1">
      <c r="A2" t="s">
        <v>10</v>
      </c>
      <c r="B2" t="str">
        <f>'ריכוז נתונים מההסכמים'!H2</f>
        <v>אוקטובר 2015</v>
      </c>
      <c r="C2" s="13">
        <f>'ריכוז נתונים מההסכמים'!E2</f>
        <v>18191</v>
      </c>
      <c r="D2" s="13">
        <f>SUMIFS($Y$3:$Y$2418,$S$3:$S$2418,$A2)</f>
        <v>3099</v>
      </c>
      <c r="E2" s="13">
        <f>SUMIFS($Y$3:$Y$2418,$S$3:$S$2418,$A2,$X$3:$X$2418,"כן",$M$3:$M$2418,"&gt;0")</f>
        <v>917</v>
      </c>
      <c r="F2" s="13">
        <f>SUMIFS($Y$3:$Y$2418,$S$3:$S$2418,$A2,$P$3:$P$2418,"מחיר למשתכן")</f>
        <v>891</v>
      </c>
      <c r="G2" s="13">
        <f t="shared" ref="G2:G8" si="0">SUMIFS($N$3:$N$2418,$Y$3:$Y$2418,"&gt;0",$S$3:$S$2418,$A2,$X$3:$X$2418,"כן",$M$3:$M$2418,"&gt;0")</f>
        <v>86111179</v>
      </c>
      <c r="H2" s="13">
        <f>SUMIFS($AA$3:$AA$2418,$Y$3:$Y$2418,"&gt;0",$S$3:$S$2418,$A2,$X$3:$X$2418,"כן",$M$3:$M$2418,"&gt;0")</f>
        <v>44914199</v>
      </c>
      <c r="I2" s="15">
        <f t="shared" ref="I2:I8" si="1">(H2+G2)/D2</f>
        <v>42279.889641819944</v>
      </c>
      <c r="J2" s="15">
        <f t="shared" ref="J2:J8" si="2">I2*C2</f>
        <v>769113472.47434664</v>
      </c>
      <c r="K2" t="s">
        <v>815</v>
      </c>
      <c r="L2" s="86">
        <v>500000</v>
      </c>
      <c r="M2" s="45" t="s">
        <v>700</v>
      </c>
      <c r="N2" s="45" t="s">
        <v>238</v>
      </c>
      <c r="O2" s="45" t="s">
        <v>239</v>
      </c>
      <c r="P2" s="45" t="s">
        <v>240</v>
      </c>
      <c r="Q2" s="45" t="s">
        <v>701</v>
      </c>
      <c r="R2" s="45" t="s">
        <v>241</v>
      </c>
      <c r="S2" s="45" t="s">
        <v>817</v>
      </c>
      <c r="T2" s="45" t="s">
        <v>242</v>
      </c>
      <c r="U2" s="45" t="s">
        <v>1047</v>
      </c>
      <c r="V2" s="45" t="s">
        <v>1048</v>
      </c>
      <c r="W2" s="45" t="s">
        <v>243</v>
      </c>
      <c r="X2" s="46" t="s">
        <v>702</v>
      </c>
      <c r="Y2" s="46" t="s">
        <v>703</v>
      </c>
      <c r="Z2" s="46" t="s">
        <v>813</v>
      </c>
      <c r="AA2" s="46" t="s">
        <v>1055</v>
      </c>
      <c r="AE2" s="101" t="s">
        <v>833</v>
      </c>
      <c r="AF2" s="101" t="s">
        <v>825</v>
      </c>
      <c r="AG2" s="101" t="s">
        <v>826</v>
      </c>
      <c r="AH2" s="101" t="s">
        <v>827</v>
      </c>
      <c r="AI2" s="101" t="s">
        <v>239</v>
      </c>
      <c r="AJ2" s="101" t="s">
        <v>240</v>
      </c>
      <c r="AK2" s="101" t="s">
        <v>828</v>
      </c>
      <c r="AL2" s="101" t="s">
        <v>241</v>
      </c>
      <c r="AM2" s="101" t="s">
        <v>829</v>
      </c>
    </row>
    <row r="3" spans="1:42" ht="45" hidden="1" customHeight="1" thickBot="1">
      <c r="A3" t="s">
        <v>11</v>
      </c>
      <c r="B3" t="str">
        <f>'ריכוז נתונים מההסכמים'!H3</f>
        <v>אוקטובר 2015 (תקף ליח"ד ששווקו ב-2014)</v>
      </c>
      <c r="C3" s="13">
        <f>'ריכוז נתונים מההסכמים'!E3</f>
        <v>18140</v>
      </c>
      <c r="D3" s="13">
        <f t="shared" ref="D3:D26" si="3">SUMIFS($Y$3:$Y$2418,$S$3:$S$2418,$A3)</f>
        <v>6881</v>
      </c>
      <c r="E3" s="13">
        <f t="shared" ref="E3:E26" si="4">SUMIFS($Y$3:$Y$2418,$S$3:$S$2418,$A3,$X$3:$X$2418,"כן",$M$3:$M$2418,"&gt;0")</f>
        <v>4737</v>
      </c>
      <c r="F3" s="13">
        <f t="shared" ref="F3:F26" si="5">SUMIFS($Y$3:$Y$2418,$S$3:$S$2418,$A3,$P$3:$P$2418,"מחיר למשתכן")</f>
        <v>3818</v>
      </c>
      <c r="G3" s="13">
        <f t="shared" si="0"/>
        <v>1163266136</v>
      </c>
      <c r="H3" s="13">
        <f t="shared" ref="H3:H26" si="6">SUMIFS($AA$3:$AA$2418,$Y$3:$Y$2418,"&gt;0",$S$3:$S$2418,$A3,$X$3:$X$2418,"כן",$M$3:$M$2418,"&gt;0")</f>
        <v>297457262</v>
      </c>
      <c r="I3" s="15">
        <f t="shared" si="1"/>
        <v>212283.59221043452</v>
      </c>
      <c r="J3" s="15">
        <f t="shared" si="2"/>
        <v>3850824362.6972823</v>
      </c>
      <c r="L3" s="89"/>
      <c r="M3" s="152" t="s">
        <v>917</v>
      </c>
      <c r="N3" s="221">
        <v>9341011</v>
      </c>
      <c r="O3" s="152" t="s">
        <v>248</v>
      </c>
      <c r="P3" s="152" t="s">
        <v>245</v>
      </c>
      <c r="Q3" s="133">
        <v>30445</v>
      </c>
      <c r="R3" s="152" t="s">
        <v>969</v>
      </c>
      <c r="S3" s="161" t="s">
        <v>37</v>
      </c>
      <c r="T3" s="156">
        <v>42829</v>
      </c>
      <c r="U3" s="172">
        <f>YEAR($T3)</f>
        <v>2017</v>
      </c>
      <c r="V3" s="172">
        <f>MONTH($T3)</f>
        <v>4</v>
      </c>
      <c r="W3" s="157" t="s">
        <v>970</v>
      </c>
      <c r="X3" t="e">
        <f>MATCH($W3,$E$30:$E$125,0)</f>
        <v>#N/A</v>
      </c>
      <c r="Y3">
        <v>18</v>
      </c>
      <c r="Z3">
        <v>6979</v>
      </c>
      <c r="AA3" s="13" t="str">
        <f>IF(M3&lt;30000,Y3*100*M3*(1-$L$1)-$L$2*Y3,M3)</f>
        <v>אין הצעות למתחם זה</v>
      </c>
      <c r="AE3" s="102"/>
      <c r="AF3" s="103">
        <v>42506</v>
      </c>
      <c r="AG3" s="103">
        <v>42471</v>
      </c>
      <c r="AH3" s="103">
        <v>42369</v>
      </c>
      <c r="AI3" s="104" t="s">
        <v>248</v>
      </c>
      <c r="AJ3" s="104" t="s">
        <v>251</v>
      </c>
      <c r="AK3" s="105" t="s">
        <v>836</v>
      </c>
      <c r="AL3" s="104" t="s">
        <v>249</v>
      </c>
      <c r="AM3" s="102"/>
      <c r="AN3" t="s">
        <v>48</v>
      </c>
      <c r="AO3" s="17" t="s">
        <v>55</v>
      </c>
      <c r="AP3" s="10" t="s">
        <v>60</v>
      </c>
    </row>
    <row r="4" spans="1:42" ht="45" hidden="1" customHeight="1" thickBot="1">
      <c r="A4" t="s">
        <v>793</v>
      </c>
      <c r="B4" t="str">
        <f>'ריכוז נתונים מההסכמים'!H4</f>
        <v>ינואר 2014</v>
      </c>
      <c r="C4" s="13">
        <f>'ריכוז נתונים מההסכמים'!E4</f>
        <v>4573</v>
      </c>
      <c r="D4" s="13">
        <f t="shared" si="3"/>
        <v>1910</v>
      </c>
      <c r="E4" s="13">
        <f t="shared" si="4"/>
        <v>1910</v>
      </c>
      <c r="F4" s="13">
        <f t="shared" si="5"/>
        <v>1042</v>
      </c>
      <c r="G4" s="13">
        <f t="shared" si="0"/>
        <v>373691532</v>
      </c>
      <c r="H4" s="13">
        <f t="shared" si="6"/>
        <v>279561913</v>
      </c>
      <c r="I4" s="15">
        <f t="shared" si="1"/>
        <v>342017.51047120418</v>
      </c>
      <c r="J4" s="15">
        <f t="shared" si="2"/>
        <v>1564046075.3848166</v>
      </c>
      <c r="M4" s="152" t="s">
        <v>917</v>
      </c>
      <c r="N4" s="221">
        <v>25367885</v>
      </c>
      <c r="O4" s="152" t="s">
        <v>248</v>
      </c>
      <c r="P4" s="152" t="s">
        <v>245</v>
      </c>
      <c r="Q4" s="133">
        <v>30446</v>
      </c>
      <c r="R4" s="152" t="s">
        <v>969</v>
      </c>
      <c r="S4" s="161" t="s">
        <v>37</v>
      </c>
      <c r="T4" s="156">
        <v>42829</v>
      </c>
      <c r="U4" s="172">
        <f>YEAR($T4)</f>
        <v>2017</v>
      </c>
      <c r="V4" s="172">
        <f>MONTH($T4)</f>
        <v>4</v>
      </c>
      <c r="W4" s="157" t="s">
        <v>970</v>
      </c>
      <c r="X4" t="e">
        <f>MATCH($W4,$E$30:$E$125,0)</f>
        <v>#N/A</v>
      </c>
      <c r="Y4">
        <v>51</v>
      </c>
      <c r="Z4">
        <v>18265</v>
      </c>
      <c r="AA4" s="13" t="str">
        <f t="shared" ref="AA4:AA67" si="7">IF(M4&lt;30000,Y4*100*M4*(1-$L$1)-$L$2*Y4,M4)</f>
        <v>אין הצעות למתחם זה</v>
      </c>
      <c r="AE4" s="102"/>
      <c r="AF4" s="103">
        <v>42513</v>
      </c>
      <c r="AG4" s="103">
        <v>42446</v>
      </c>
      <c r="AH4" s="103">
        <v>42366</v>
      </c>
      <c r="AI4" s="104" t="s">
        <v>248</v>
      </c>
      <c r="AJ4" s="104" t="s">
        <v>251</v>
      </c>
      <c r="AK4" s="105" t="s">
        <v>834</v>
      </c>
      <c r="AL4" s="104" t="s">
        <v>252</v>
      </c>
      <c r="AM4" s="102"/>
      <c r="AN4" t="s">
        <v>49</v>
      </c>
      <c r="AO4" s="17"/>
      <c r="AP4" s="10" t="s">
        <v>61</v>
      </c>
    </row>
    <row r="5" spans="1:42" ht="45" hidden="1" customHeight="1" thickBot="1">
      <c r="A5" t="s">
        <v>13</v>
      </c>
      <c r="B5" t="e">
        <f>'ריכוז נתונים מההסכמים'!#REF!</f>
        <v>#REF!</v>
      </c>
      <c r="C5" s="13" t="e">
        <f>'ריכוז נתונים מההסכמים'!#REF!</f>
        <v>#REF!</v>
      </c>
      <c r="D5" s="13">
        <f t="shared" si="3"/>
        <v>1468</v>
      </c>
      <c r="E5" s="13">
        <f t="shared" si="4"/>
        <v>1468</v>
      </c>
      <c r="F5" s="13">
        <f t="shared" si="5"/>
        <v>1468</v>
      </c>
      <c r="G5" s="13">
        <f t="shared" si="0"/>
        <v>237957984</v>
      </c>
      <c r="H5" s="13">
        <f t="shared" si="6"/>
        <v>862438525</v>
      </c>
      <c r="I5" s="15">
        <f t="shared" si="1"/>
        <v>749588.90258855582</v>
      </c>
      <c r="J5" s="15" t="e">
        <f t="shared" si="2"/>
        <v>#REF!</v>
      </c>
      <c r="M5" s="152" t="s">
        <v>917</v>
      </c>
      <c r="N5" s="221">
        <v>7486724</v>
      </c>
      <c r="O5" s="152" t="s">
        <v>248</v>
      </c>
      <c r="P5" s="152" t="s">
        <v>245</v>
      </c>
      <c r="Q5" s="133">
        <v>30447</v>
      </c>
      <c r="R5" s="152" t="s">
        <v>969</v>
      </c>
      <c r="S5" s="161" t="s">
        <v>37</v>
      </c>
      <c r="T5" s="156">
        <v>42829</v>
      </c>
      <c r="U5" s="172">
        <f>YEAR($T5)</f>
        <v>2017</v>
      </c>
      <c r="V5" s="172">
        <f>MONTH($T5)</f>
        <v>4</v>
      </c>
      <c r="W5" s="157" t="s">
        <v>970</v>
      </c>
      <c r="X5" t="e">
        <f>MATCH($W5,$E$30:$E$125,0)</f>
        <v>#N/A</v>
      </c>
      <c r="Y5">
        <v>15</v>
      </c>
      <c r="Z5">
        <v>5758</v>
      </c>
      <c r="AA5" s="13" t="str">
        <f t="shared" si="7"/>
        <v>אין הצעות למתחם זה</v>
      </c>
      <c r="AE5" s="102"/>
      <c r="AF5" s="103">
        <v>42527</v>
      </c>
      <c r="AG5" s="103">
        <v>42445</v>
      </c>
      <c r="AH5" s="103">
        <v>42369</v>
      </c>
      <c r="AI5" s="104" t="s">
        <v>248</v>
      </c>
      <c r="AJ5" s="104"/>
      <c r="AK5" s="105" t="s">
        <v>835</v>
      </c>
      <c r="AL5" s="104" t="s">
        <v>249</v>
      </c>
      <c r="AM5" s="102"/>
      <c r="AN5" t="s">
        <v>50</v>
      </c>
      <c r="AO5" s="17" t="s">
        <v>56</v>
      </c>
      <c r="AP5" s="100" t="s">
        <v>820</v>
      </c>
    </row>
    <row r="6" spans="1:42" ht="45" hidden="1" customHeight="1" thickBot="1">
      <c r="A6" s="30" t="s">
        <v>34</v>
      </c>
      <c r="B6" t="str">
        <f>'ריכוז נתונים מההסכמים'!H5</f>
        <v>ינואר 2014</v>
      </c>
      <c r="C6" s="13">
        <f>'ריכוז נתונים מההסכמים'!E5</f>
        <v>11684</v>
      </c>
      <c r="D6" s="13">
        <f t="shared" si="3"/>
        <v>6789</v>
      </c>
      <c r="E6" s="13">
        <f t="shared" si="4"/>
        <v>6789</v>
      </c>
      <c r="F6" s="13">
        <f t="shared" si="5"/>
        <v>3607</v>
      </c>
      <c r="G6" s="13">
        <f t="shared" si="0"/>
        <v>1390431476</v>
      </c>
      <c r="H6" s="13">
        <f t="shared" si="6"/>
        <v>1560403344</v>
      </c>
      <c r="I6" s="15">
        <f t="shared" si="1"/>
        <v>434649.40639269404</v>
      </c>
      <c r="J6" s="15">
        <f t="shared" si="2"/>
        <v>5078443664.2922373</v>
      </c>
      <c r="M6" s="131">
        <v>5926</v>
      </c>
      <c r="N6" s="222">
        <v>13851104</v>
      </c>
      <c r="O6" s="132" t="s">
        <v>248</v>
      </c>
      <c r="P6" s="132" t="s">
        <v>251</v>
      </c>
      <c r="Q6" s="133">
        <v>37969</v>
      </c>
      <c r="R6" s="132" t="s">
        <v>252</v>
      </c>
      <c r="S6" s="132" t="s">
        <v>10</v>
      </c>
      <c r="T6" s="134">
        <v>42513</v>
      </c>
      <c r="U6" s="172">
        <f>YEAR($T6)</f>
        <v>2016</v>
      </c>
      <c r="V6" s="172">
        <f>MONTH($T6)</f>
        <v>5</v>
      </c>
      <c r="W6" s="44" t="s">
        <v>253</v>
      </c>
      <c r="X6" t="s">
        <v>892</v>
      </c>
      <c r="Y6">
        <v>161</v>
      </c>
      <c r="Z6">
        <v>18530</v>
      </c>
      <c r="AA6" s="13">
        <f t="shared" si="7"/>
        <v>-8943550</v>
      </c>
      <c r="AE6" s="102"/>
      <c r="AF6" s="103">
        <v>42863</v>
      </c>
      <c r="AG6" s="103">
        <v>42830</v>
      </c>
      <c r="AH6" s="103">
        <v>42709</v>
      </c>
      <c r="AI6" s="104" t="s">
        <v>248</v>
      </c>
      <c r="AJ6" s="104" t="s">
        <v>251</v>
      </c>
      <c r="AK6" s="105" t="s">
        <v>820</v>
      </c>
      <c r="AL6" s="104" t="s">
        <v>10</v>
      </c>
      <c r="AM6" s="102"/>
      <c r="AN6" t="s">
        <v>51</v>
      </c>
      <c r="AO6" s="17" t="s">
        <v>57</v>
      </c>
      <c r="AP6" s="10" t="s">
        <v>58</v>
      </c>
    </row>
    <row r="7" spans="1:42" ht="45" hidden="1" customHeight="1" thickBot="1">
      <c r="A7" t="s">
        <v>14</v>
      </c>
      <c r="B7" t="str">
        <f>'ריכוז נתונים מההסכמים'!H6</f>
        <v>ספטמבר 2016</v>
      </c>
      <c r="C7" s="13">
        <f>'ריכוז נתונים מההסכמים'!E6</f>
        <v>13136</v>
      </c>
      <c r="D7" s="13">
        <f t="shared" si="3"/>
        <v>92</v>
      </c>
      <c r="E7" s="13">
        <f t="shared" si="4"/>
        <v>92</v>
      </c>
      <c r="F7" s="13">
        <f t="shared" si="5"/>
        <v>92</v>
      </c>
      <c r="G7" s="13">
        <f t="shared" si="0"/>
        <v>7129854</v>
      </c>
      <c r="H7" s="13">
        <f t="shared" si="6"/>
        <v>-14552200</v>
      </c>
      <c r="I7" s="15">
        <f t="shared" si="1"/>
        <v>-80677.673913043473</v>
      </c>
      <c r="J7" s="15">
        <f t="shared" si="2"/>
        <v>-1059781924.521739</v>
      </c>
      <c r="M7" s="131">
        <v>6126</v>
      </c>
      <c r="N7" s="222">
        <v>3891477</v>
      </c>
      <c r="O7" s="132" t="s">
        <v>248</v>
      </c>
      <c r="P7" s="132" t="s">
        <v>251</v>
      </c>
      <c r="Q7" s="133">
        <v>37968</v>
      </c>
      <c r="R7" s="132" t="s">
        <v>263</v>
      </c>
      <c r="S7" s="132" t="s">
        <v>10</v>
      </c>
      <c r="T7" s="134">
        <v>42478</v>
      </c>
      <c r="U7" s="172">
        <f t="shared" ref="U7:U70" si="8">YEAR($T7)</f>
        <v>2016</v>
      </c>
      <c r="V7" s="172">
        <f t="shared" ref="V7:V70" si="9">MONTH($T7)</f>
        <v>4</v>
      </c>
      <c r="W7" s="44" t="s">
        <v>264</v>
      </c>
      <c r="X7" t="s">
        <v>892</v>
      </c>
      <c r="Y7">
        <v>40</v>
      </c>
      <c r="Z7">
        <v>3723</v>
      </c>
      <c r="AA7" s="13">
        <f t="shared" si="7"/>
        <v>-1622000</v>
      </c>
      <c r="AE7" s="102"/>
      <c r="AM7" s="102"/>
      <c r="AN7" t="s">
        <v>52</v>
      </c>
      <c r="AO7" s="17" t="s">
        <v>58</v>
      </c>
      <c r="AP7" s="10" t="s">
        <v>58</v>
      </c>
    </row>
    <row r="8" spans="1:42" ht="45" hidden="1" customHeight="1" thickBot="1">
      <c r="A8" t="s">
        <v>801</v>
      </c>
      <c r="B8" t="str">
        <f>'ריכוז נתונים מההסכמים'!H7</f>
        <v>נובמבר 2013</v>
      </c>
      <c r="C8" s="13">
        <f>'ריכוז נתונים מההסכמים'!E7</f>
        <v>6442</v>
      </c>
      <c r="D8" s="13">
        <f t="shared" si="3"/>
        <v>5967</v>
      </c>
      <c r="E8" s="13">
        <f t="shared" si="4"/>
        <v>5160</v>
      </c>
      <c r="F8" s="13">
        <f t="shared" si="5"/>
        <v>1142</v>
      </c>
      <c r="G8" s="13">
        <f t="shared" si="0"/>
        <v>830087830</v>
      </c>
      <c r="H8" s="13">
        <f t="shared" si="6"/>
        <v>352865978</v>
      </c>
      <c r="I8" s="15">
        <f t="shared" si="1"/>
        <v>198249.33936651584</v>
      </c>
      <c r="J8" s="15">
        <f t="shared" si="2"/>
        <v>1277122244.199095</v>
      </c>
      <c r="M8" s="131">
        <v>6926</v>
      </c>
      <c r="N8" s="222">
        <v>7404752</v>
      </c>
      <c r="O8" s="132" t="s">
        <v>248</v>
      </c>
      <c r="P8" s="132" t="s">
        <v>251</v>
      </c>
      <c r="Q8" s="135" t="s">
        <v>256</v>
      </c>
      <c r="R8" s="132" t="s">
        <v>249</v>
      </c>
      <c r="S8" s="132" t="s">
        <v>10</v>
      </c>
      <c r="T8" s="134">
        <v>42506</v>
      </c>
      <c r="U8" s="172">
        <f t="shared" si="8"/>
        <v>2016</v>
      </c>
      <c r="V8" s="172">
        <f t="shared" si="9"/>
        <v>5</v>
      </c>
      <c r="W8" s="44" t="s">
        <v>255</v>
      </c>
      <c r="X8" t="s">
        <v>892</v>
      </c>
      <c r="Y8">
        <v>84</v>
      </c>
      <c r="Z8">
        <v>5998</v>
      </c>
      <c r="AA8" s="13">
        <f t="shared" si="7"/>
        <v>1633800</v>
      </c>
      <c r="AE8" s="102"/>
      <c r="AF8" s="103"/>
      <c r="AG8" s="103"/>
      <c r="AH8" s="103"/>
      <c r="AI8" s="104"/>
      <c r="AJ8" s="104"/>
      <c r="AK8" s="105"/>
      <c r="AL8" s="104"/>
      <c r="AM8" s="102"/>
      <c r="AN8" t="s">
        <v>53</v>
      </c>
      <c r="AO8" s="17" t="s">
        <v>59</v>
      </c>
      <c r="AP8" s="10" t="s">
        <v>61</v>
      </c>
    </row>
    <row r="9" spans="1:42" ht="45" hidden="1" customHeight="1" thickBot="1">
      <c r="A9" s="29" t="s">
        <v>16</v>
      </c>
      <c r="B9" t="str">
        <f>'ריכוז נתונים מההסכמים'!H8</f>
        <v>פברואר 2014</v>
      </c>
      <c r="C9" s="13">
        <f>'ריכוז נתונים מההסכמים'!E8</f>
        <v>9436</v>
      </c>
      <c r="D9" s="13">
        <f t="shared" si="3"/>
        <v>8973</v>
      </c>
      <c r="E9" s="13">
        <f t="shared" si="4"/>
        <v>4576</v>
      </c>
      <c r="F9" s="13">
        <f t="shared" si="5"/>
        <v>2972</v>
      </c>
      <c r="G9" s="13">
        <f>SUMIFS($N$3:$N$2418,$Y$3:$Y$2418,"&gt;0",$S$3:$S$2418,$A9,$X$3:$X$2418,"כן",$M$3:$M$2418,"&gt;0")</f>
        <v>1027018719</v>
      </c>
      <c r="H9" s="13">
        <f t="shared" si="6"/>
        <v>356179083</v>
      </c>
      <c r="M9" s="131">
        <v>7026</v>
      </c>
      <c r="N9" s="222">
        <v>7259313</v>
      </c>
      <c r="O9" s="132" t="s">
        <v>248</v>
      </c>
      <c r="P9" s="132" t="s">
        <v>251</v>
      </c>
      <c r="Q9" s="135" t="s">
        <v>258</v>
      </c>
      <c r="R9" s="132" t="s">
        <v>249</v>
      </c>
      <c r="S9" s="132" t="s">
        <v>10</v>
      </c>
      <c r="T9" s="134">
        <v>42506</v>
      </c>
      <c r="U9" s="172">
        <f t="shared" si="8"/>
        <v>2016</v>
      </c>
      <c r="V9" s="172">
        <f t="shared" si="9"/>
        <v>5</v>
      </c>
      <c r="W9" s="44" t="s">
        <v>255</v>
      </c>
      <c r="X9" t="s">
        <v>892</v>
      </c>
      <c r="Y9">
        <v>84</v>
      </c>
      <c r="Z9">
        <v>5634</v>
      </c>
      <c r="AA9" s="13">
        <f t="shared" si="7"/>
        <v>2263800</v>
      </c>
      <c r="AE9" s="102"/>
      <c r="AF9" s="103"/>
      <c r="AG9" s="103"/>
      <c r="AH9" s="103"/>
      <c r="AI9" s="104"/>
      <c r="AJ9" s="104"/>
      <c r="AK9" s="105"/>
      <c r="AL9" s="104"/>
      <c r="AM9" s="102"/>
      <c r="AN9" t="s">
        <v>54</v>
      </c>
      <c r="AO9" s="17"/>
      <c r="AP9" s="10" t="s">
        <v>58</v>
      </c>
    </row>
    <row r="10" spans="1:42" ht="45" hidden="1" customHeight="1" thickBot="1">
      <c r="A10" t="s">
        <v>17</v>
      </c>
      <c r="B10" t="str">
        <f>'ריכוז נתונים מההסכמים'!H9</f>
        <v>נובמבר 2014</v>
      </c>
      <c r="C10" s="13">
        <f>'ריכוז נתונים מההסכמים'!E9</f>
        <v>16393</v>
      </c>
      <c r="D10" s="13">
        <f t="shared" si="3"/>
        <v>4635.47</v>
      </c>
      <c r="E10" s="13">
        <f t="shared" si="4"/>
        <v>4478</v>
      </c>
      <c r="F10" s="13">
        <f t="shared" si="5"/>
        <v>4140</v>
      </c>
      <c r="G10" s="13">
        <f t="shared" ref="G10:G26" si="10">SUMIFS($N$3:$N$2418,$Y$3:$Y$2418,"&gt;0",$S$3:$S$2418,$A10,$X$3:$X$2418,"כן",$M$3:$M$2418,"&gt;0")</f>
        <v>618942105</v>
      </c>
      <c r="H10" s="13">
        <f t="shared" si="6"/>
        <v>1013956736</v>
      </c>
      <c r="I10" s="15">
        <f>(H10+G10)/D10</f>
        <v>352261.76439498045</v>
      </c>
      <c r="J10" s="15">
        <f>I10*C10</f>
        <v>5774627103.7269144</v>
      </c>
      <c r="M10" s="131">
        <v>7126</v>
      </c>
      <c r="N10" s="222">
        <v>7290421</v>
      </c>
      <c r="O10" s="132" t="s">
        <v>248</v>
      </c>
      <c r="P10" s="132" t="s">
        <v>251</v>
      </c>
      <c r="Q10" s="135" t="s">
        <v>260</v>
      </c>
      <c r="R10" s="132" t="s">
        <v>249</v>
      </c>
      <c r="S10" s="132" t="s">
        <v>10</v>
      </c>
      <c r="T10" s="134">
        <v>42506</v>
      </c>
      <c r="U10" s="172">
        <f t="shared" si="8"/>
        <v>2016</v>
      </c>
      <c r="V10" s="172">
        <f t="shared" si="9"/>
        <v>5</v>
      </c>
      <c r="W10" s="44" t="s">
        <v>255</v>
      </c>
      <c r="X10" t="s">
        <v>892</v>
      </c>
      <c r="Y10">
        <v>84</v>
      </c>
      <c r="Z10">
        <v>5712</v>
      </c>
      <c r="AA10" s="13">
        <f t="shared" si="7"/>
        <v>2893800</v>
      </c>
      <c r="AE10" s="102"/>
      <c r="AF10" s="103"/>
      <c r="AG10" s="103"/>
      <c r="AH10" s="103"/>
      <c r="AI10" s="104"/>
      <c r="AJ10" s="104"/>
      <c r="AK10" s="105"/>
      <c r="AL10" s="104"/>
      <c r="AM10" s="102"/>
      <c r="AN10" s="43"/>
      <c r="AO10" s="44"/>
    </row>
    <row r="11" spans="1:42" ht="45" hidden="1" customHeight="1" thickBot="1">
      <c r="A11" t="s">
        <v>18</v>
      </c>
      <c r="B11" t="str">
        <f>'ריכוז נתונים מההסכמים'!H10</f>
        <v>יולי 2015</v>
      </c>
      <c r="C11" s="13">
        <f>'ריכוז נתונים מההסכמים'!E10</f>
        <v>7483</v>
      </c>
      <c r="D11" s="13">
        <f t="shared" si="3"/>
        <v>1594</v>
      </c>
      <c r="E11" s="13">
        <f t="shared" si="4"/>
        <v>802</v>
      </c>
      <c r="F11" s="13">
        <f t="shared" si="5"/>
        <v>1592</v>
      </c>
      <c r="G11" s="13">
        <f t="shared" si="10"/>
        <v>113657187</v>
      </c>
      <c r="H11" s="13">
        <f t="shared" si="6"/>
        <v>125549150</v>
      </c>
      <c r="I11" s="15">
        <f>(H11+G11)/D11</f>
        <v>150066.71079046425</v>
      </c>
      <c r="J11" s="15">
        <f>I11*C11</f>
        <v>1122949196.8450439</v>
      </c>
      <c r="M11" s="131">
        <v>7140</v>
      </c>
      <c r="N11" s="222">
        <v>5274130</v>
      </c>
      <c r="O11" s="132" t="s">
        <v>248</v>
      </c>
      <c r="P11" s="132" t="s">
        <v>251</v>
      </c>
      <c r="Q11" s="135" t="s">
        <v>254</v>
      </c>
      <c r="R11" s="132" t="s">
        <v>249</v>
      </c>
      <c r="S11" s="132" t="s">
        <v>10</v>
      </c>
      <c r="T11" s="134">
        <v>42506</v>
      </c>
      <c r="U11" s="172">
        <f t="shared" si="8"/>
        <v>2016</v>
      </c>
      <c r="V11" s="172">
        <f t="shared" si="9"/>
        <v>5</v>
      </c>
      <c r="W11" s="44" t="s">
        <v>255</v>
      </c>
      <c r="X11" t="s">
        <v>892</v>
      </c>
      <c r="Y11">
        <v>56</v>
      </c>
      <c r="Z11">
        <v>4673</v>
      </c>
      <c r="AA11" s="13">
        <f t="shared" si="7"/>
        <v>1988000</v>
      </c>
      <c r="AE11" s="102"/>
      <c r="AF11" s="103"/>
      <c r="AG11" s="103"/>
      <c r="AH11" s="103"/>
      <c r="AI11" s="104"/>
      <c r="AJ11" s="104"/>
      <c r="AK11" s="105"/>
      <c r="AL11" s="104"/>
      <c r="AM11" s="102"/>
      <c r="AN11" s="43"/>
      <c r="AO11" s="44"/>
    </row>
    <row r="12" spans="1:42" ht="45" hidden="1" customHeight="1" thickBot="1">
      <c r="A12" t="s">
        <v>19</v>
      </c>
      <c r="B12" t="str">
        <f>'ריכוז נתונים מההסכמים'!H11</f>
        <v>אפריל 2016</v>
      </c>
      <c r="C12" s="13">
        <f>'ריכוז נתונים מההסכמים'!E11</f>
        <v>12288</v>
      </c>
      <c r="D12" s="13">
        <f t="shared" si="3"/>
        <v>1818</v>
      </c>
      <c r="E12" s="13">
        <f t="shared" si="4"/>
        <v>406</v>
      </c>
      <c r="F12" s="13">
        <f t="shared" si="5"/>
        <v>618</v>
      </c>
      <c r="G12" s="13">
        <f t="shared" si="10"/>
        <v>54959719</v>
      </c>
      <c r="H12" s="13">
        <f t="shared" si="6"/>
        <v>83655400</v>
      </c>
      <c r="M12" s="131">
        <v>7311</v>
      </c>
      <c r="N12" s="222">
        <v>10407526</v>
      </c>
      <c r="O12" s="132" t="s">
        <v>248</v>
      </c>
      <c r="P12" s="132" t="s">
        <v>251</v>
      </c>
      <c r="Q12" s="135" t="s">
        <v>257</v>
      </c>
      <c r="R12" s="132" t="s">
        <v>249</v>
      </c>
      <c r="S12" s="132" t="s">
        <v>10</v>
      </c>
      <c r="T12" s="134">
        <v>42506</v>
      </c>
      <c r="U12" s="172">
        <f t="shared" si="8"/>
        <v>2016</v>
      </c>
      <c r="V12" s="172">
        <f t="shared" si="9"/>
        <v>5</v>
      </c>
      <c r="W12" s="44" t="s">
        <v>255</v>
      </c>
      <c r="X12" t="s">
        <v>892</v>
      </c>
      <c r="Y12">
        <v>100</v>
      </c>
      <c r="Z12">
        <v>7750</v>
      </c>
      <c r="AA12" s="13">
        <f t="shared" si="7"/>
        <v>4832500</v>
      </c>
      <c r="AE12" s="102"/>
      <c r="AM12" s="102"/>
      <c r="AN12" s="43"/>
      <c r="AO12" s="44"/>
    </row>
    <row r="13" spans="1:42" ht="45" hidden="1" customHeight="1" thickBot="1">
      <c r="A13" t="s">
        <v>145</v>
      </c>
      <c r="B13" t="e">
        <f>'ריכוז נתונים מההסכמים'!#REF!</f>
        <v>#REF!</v>
      </c>
      <c r="C13" s="13" t="e">
        <f>'ריכוז נתונים מההסכמים'!#REF!</f>
        <v>#REF!</v>
      </c>
      <c r="D13" s="13">
        <f t="shared" si="3"/>
        <v>0</v>
      </c>
      <c r="E13" s="13">
        <f t="shared" si="4"/>
        <v>0</v>
      </c>
      <c r="F13" s="13">
        <f t="shared" si="5"/>
        <v>0</v>
      </c>
      <c r="G13" s="13">
        <f t="shared" si="10"/>
        <v>0</v>
      </c>
      <c r="H13" s="13">
        <f t="shared" si="6"/>
        <v>0</v>
      </c>
      <c r="M13" s="131">
        <v>7339</v>
      </c>
      <c r="N13" s="222">
        <v>10501239</v>
      </c>
      <c r="O13" s="132" t="s">
        <v>248</v>
      </c>
      <c r="P13" s="132" t="s">
        <v>251</v>
      </c>
      <c r="Q13" s="135" t="s">
        <v>261</v>
      </c>
      <c r="R13" s="132" t="s">
        <v>249</v>
      </c>
      <c r="S13" s="132" t="s">
        <v>10</v>
      </c>
      <c r="T13" s="134">
        <v>42506</v>
      </c>
      <c r="U13" s="172">
        <f t="shared" si="8"/>
        <v>2016</v>
      </c>
      <c r="V13" s="172">
        <f t="shared" si="9"/>
        <v>5</v>
      </c>
      <c r="W13" s="44" t="s">
        <v>255</v>
      </c>
      <c r="X13" t="s">
        <v>892</v>
      </c>
      <c r="Y13">
        <v>112</v>
      </c>
      <c r="Z13">
        <v>9242</v>
      </c>
      <c r="AA13" s="13">
        <f t="shared" si="7"/>
        <v>5647600</v>
      </c>
      <c r="AE13" s="102"/>
      <c r="AM13" s="102"/>
      <c r="AN13" s="43"/>
      <c r="AO13" s="44"/>
    </row>
    <row r="14" spans="1:42" ht="45" hidden="1" customHeight="1" thickBot="1">
      <c r="A14" s="7" t="s">
        <v>147</v>
      </c>
      <c r="B14" t="str">
        <f>'ריכוז נתונים מההסכמים'!H12</f>
        <v>אוגוסט 2016</v>
      </c>
      <c r="C14" s="13">
        <f>'ריכוז נתונים מההסכמים'!E12</f>
        <v>12699</v>
      </c>
      <c r="D14" s="13">
        <f t="shared" si="3"/>
        <v>2267</v>
      </c>
      <c r="E14" s="13">
        <f t="shared" si="4"/>
        <v>2035</v>
      </c>
      <c r="F14" s="13">
        <f t="shared" si="5"/>
        <v>1983</v>
      </c>
      <c r="G14" s="13">
        <f t="shared" si="10"/>
        <v>532407632</v>
      </c>
      <c r="H14" s="13">
        <f t="shared" si="6"/>
        <v>315714800</v>
      </c>
      <c r="I14" s="15">
        <f>(H14+G14)/D14</f>
        <v>374116.64402293781</v>
      </c>
      <c r="J14" s="15">
        <f>I14*C14</f>
        <v>4750907262.4472876</v>
      </c>
      <c r="M14" s="131">
        <v>7426</v>
      </c>
      <c r="N14" s="222">
        <v>4813170</v>
      </c>
      <c r="O14" s="132" t="s">
        <v>248</v>
      </c>
      <c r="P14" s="132" t="s">
        <v>251</v>
      </c>
      <c r="Q14" s="135" t="s">
        <v>259</v>
      </c>
      <c r="R14" s="132" t="s">
        <v>249</v>
      </c>
      <c r="S14" s="132" t="s">
        <v>10</v>
      </c>
      <c r="T14" s="134">
        <v>42506</v>
      </c>
      <c r="U14" s="172">
        <f t="shared" si="8"/>
        <v>2016</v>
      </c>
      <c r="V14" s="172">
        <f t="shared" si="9"/>
        <v>5</v>
      </c>
      <c r="W14" s="44" t="s">
        <v>255</v>
      </c>
      <c r="X14" t="s">
        <v>892</v>
      </c>
      <c r="Y14">
        <v>56</v>
      </c>
      <c r="Z14">
        <v>3544</v>
      </c>
      <c r="AA14" s="13">
        <f t="shared" si="7"/>
        <v>3189200</v>
      </c>
      <c r="AE14" s="102"/>
      <c r="AM14" s="102"/>
      <c r="AN14" s="43"/>
      <c r="AO14" s="44"/>
    </row>
    <row r="15" spans="1:42" ht="45" hidden="1" customHeight="1" thickBot="1">
      <c r="A15" t="s">
        <v>146</v>
      </c>
      <c r="B15" t="str">
        <f>'ריכוז נתונים מההסכמים'!H13</f>
        <v>ספטמבר 2016 (תקף ליחידות ששווקו ב-2015)</v>
      </c>
      <c r="C15" s="13">
        <f>'ריכוז נתונים מההסכמים'!E13</f>
        <v>10160</v>
      </c>
      <c r="D15" s="13">
        <f t="shared" si="3"/>
        <v>2604</v>
      </c>
      <c r="E15" s="13">
        <f t="shared" si="4"/>
        <v>2583</v>
      </c>
      <c r="F15" s="13">
        <f t="shared" si="5"/>
        <v>1611</v>
      </c>
      <c r="G15" s="13">
        <f t="shared" si="10"/>
        <v>367740603</v>
      </c>
      <c r="H15" s="13">
        <f t="shared" si="6"/>
        <v>129521320</v>
      </c>
      <c r="M15" s="131">
        <v>8391</v>
      </c>
      <c r="N15" s="222">
        <v>9248818</v>
      </c>
      <c r="O15" s="132" t="s">
        <v>248</v>
      </c>
      <c r="P15" s="132" t="s">
        <v>251</v>
      </c>
      <c r="Q15" s="135" t="s">
        <v>262</v>
      </c>
      <c r="R15" s="132" t="s">
        <v>249</v>
      </c>
      <c r="S15" s="132" t="s">
        <v>10</v>
      </c>
      <c r="T15" s="134">
        <v>42506</v>
      </c>
      <c r="U15" s="172">
        <f t="shared" si="8"/>
        <v>2016</v>
      </c>
      <c r="V15" s="172">
        <f t="shared" si="9"/>
        <v>5</v>
      </c>
      <c r="W15" s="44" t="s">
        <v>255</v>
      </c>
      <c r="X15" t="s">
        <v>892</v>
      </c>
      <c r="Y15">
        <v>114</v>
      </c>
      <c r="Z15">
        <v>5235</v>
      </c>
      <c r="AA15" s="13">
        <f t="shared" si="7"/>
        <v>14743050</v>
      </c>
      <c r="AE15" s="102"/>
      <c r="AM15" s="102"/>
      <c r="AN15" s="43"/>
      <c r="AO15" s="44"/>
    </row>
    <row r="16" spans="1:42" ht="45" hidden="1" customHeight="1" thickBot="1">
      <c r="A16" s="7" t="s">
        <v>35</v>
      </c>
      <c r="B16" t="e">
        <f>'ריכוז נתונים מההסכמים'!#REF!</f>
        <v>#REF!</v>
      </c>
      <c r="C16" s="13" t="e">
        <f>'ריכוז נתונים מההסכמים'!#REF!</f>
        <v>#REF!</v>
      </c>
      <c r="D16" s="13">
        <f t="shared" si="3"/>
        <v>68</v>
      </c>
      <c r="E16" s="13">
        <f t="shared" si="4"/>
        <v>68</v>
      </c>
      <c r="F16" s="13">
        <f t="shared" si="5"/>
        <v>68</v>
      </c>
      <c r="G16" s="13">
        <f t="shared" si="10"/>
        <v>22526322</v>
      </c>
      <c r="H16" s="13">
        <f t="shared" si="6"/>
        <v>4188800</v>
      </c>
      <c r="M16" s="131">
        <v>108000</v>
      </c>
      <c r="N16" s="222">
        <v>5682115</v>
      </c>
      <c r="O16" s="132" t="s">
        <v>248</v>
      </c>
      <c r="P16" s="132" t="s">
        <v>245</v>
      </c>
      <c r="Q16" s="133">
        <v>22536</v>
      </c>
      <c r="R16" s="132" t="s">
        <v>267</v>
      </c>
      <c r="S16" s="132" t="s">
        <v>10</v>
      </c>
      <c r="T16" s="134">
        <v>41777</v>
      </c>
      <c r="U16" s="172">
        <f t="shared" si="8"/>
        <v>2014</v>
      </c>
      <c r="V16" s="172">
        <f t="shared" si="9"/>
        <v>5</v>
      </c>
      <c r="W16" s="44" t="s">
        <v>271</v>
      </c>
      <c r="X16" t="s">
        <v>894</v>
      </c>
      <c r="Y16">
        <v>54</v>
      </c>
      <c r="AA16" s="13">
        <f t="shared" si="7"/>
        <v>108000</v>
      </c>
      <c r="AE16" s="102"/>
      <c r="AM16" s="102"/>
      <c r="AN16" s="43"/>
      <c r="AO16" s="44"/>
    </row>
    <row r="17" spans="1:41" ht="45" hidden="1" customHeight="1" thickBot="1">
      <c r="A17" s="7" t="s">
        <v>36</v>
      </c>
      <c r="B17" t="e">
        <f>'ריכוז נתונים מההסכמים'!#REF!</f>
        <v>#REF!</v>
      </c>
      <c r="C17" s="13" t="e">
        <f>'ריכוז נתונים מההסכמים'!#REF!</f>
        <v>#REF!</v>
      </c>
      <c r="D17" s="13">
        <f t="shared" si="3"/>
        <v>0</v>
      </c>
      <c r="E17" s="13">
        <f t="shared" si="4"/>
        <v>0</v>
      </c>
      <c r="F17" s="13">
        <f t="shared" si="5"/>
        <v>0</v>
      </c>
      <c r="G17" s="13">
        <f t="shared" si="10"/>
        <v>0</v>
      </c>
      <c r="H17" s="13">
        <f t="shared" si="6"/>
        <v>0</v>
      </c>
      <c r="M17" s="131">
        <v>210600</v>
      </c>
      <c r="N17" s="222">
        <v>12522645</v>
      </c>
      <c r="O17" s="132" t="s">
        <v>248</v>
      </c>
      <c r="P17" s="132" t="s">
        <v>245</v>
      </c>
      <c r="Q17" s="133">
        <v>22521</v>
      </c>
      <c r="R17" s="132" t="s">
        <v>267</v>
      </c>
      <c r="S17" s="132" t="s">
        <v>10</v>
      </c>
      <c r="T17" s="134">
        <v>41953</v>
      </c>
      <c r="U17" s="172">
        <f t="shared" si="8"/>
        <v>2014</v>
      </c>
      <c r="V17" s="172">
        <f t="shared" si="9"/>
        <v>11</v>
      </c>
      <c r="W17" s="44" t="s">
        <v>270</v>
      </c>
      <c r="X17" t="s">
        <v>894</v>
      </c>
      <c r="Y17">
        <v>81</v>
      </c>
      <c r="AA17" s="13">
        <f t="shared" si="7"/>
        <v>210600</v>
      </c>
      <c r="AE17" s="102"/>
      <c r="AF17" s="103"/>
      <c r="AG17" s="103"/>
      <c r="AH17" s="103"/>
      <c r="AI17" s="104"/>
      <c r="AJ17" s="104"/>
      <c r="AK17" s="105"/>
      <c r="AL17" s="104"/>
      <c r="AM17" s="102"/>
      <c r="AN17" s="43"/>
      <c r="AO17" s="44"/>
    </row>
    <row r="18" spans="1:41" ht="45" hidden="1" customHeight="1" thickBot="1">
      <c r="A18" s="7" t="s">
        <v>37</v>
      </c>
      <c r="B18" t="e">
        <f>'ריכוז נתונים מההסכמים'!#REF!</f>
        <v>#REF!</v>
      </c>
      <c r="C18" s="13" t="e">
        <f>'ריכוז נתונים מההסכמים'!#REF!</f>
        <v>#REF!</v>
      </c>
      <c r="D18" s="13">
        <f t="shared" si="3"/>
        <v>84</v>
      </c>
      <c r="E18" s="13">
        <f t="shared" si="4"/>
        <v>0</v>
      </c>
      <c r="F18" s="13">
        <f t="shared" si="5"/>
        <v>0</v>
      </c>
      <c r="G18" s="13">
        <f t="shared" si="10"/>
        <v>0</v>
      </c>
      <c r="H18" s="13">
        <f t="shared" si="6"/>
        <v>0</v>
      </c>
      <c r="M18" s="131">
        <v>218018</v>
      </c>
      <c r="N18" s="222">
        <v>9083261</v>
      </c>
      <c r="O18" s="132" t="s">
        <v>248</v>
      </c>
      <c r="P18" s="132" t="s">
        <v>245</v>
      </c>
      <c r="Q18" s="133">
        <v>22520</v>
      </c>
      <c r="R18" s="132" t="s">
        <v>267</v>
      </c>
      <c r="S18" s="132" t="s">
        <v>10</v>
      </c>
      <c r="T18" s="134">
        <v>41953</v>
      </c>
      <c r="U18" s="172">
        <f t="shared" si="8"/>
        <v>2014</v>
      </c>
      <c r="V18" s="172">
        <f t="shared" si="9"/>
        <v>11</v>
      </c>
      <c r="W18" s="44" t="s">
        <v>270</v>
      </c>
      <c r="X18" t="s">
        <v>894</v>
      </c>
      <c r="Y18">
        <v>58</v>
      </c>
      <c r="AA18" s="13">
        <f t="shared" si="7"/>
        <v>218018</v>
      </c>
      <c r="AE18" s="102"/>
      <c r="AF18" s="103"/>
      <c r="AG18" s="103"/>
      <c r="AH18" s="103"/>
      <c r="AI18" s="104"/>
      <c r="AJ18" s="104"/>
      <c r="AK18" s="105"/>
      <c r="AL18" s="104"/>
      <c r="AM18" s="102"/>
      <c r="AN18" s="43"/>
      <c r="AO18" s="44"/>
    </row>
    <row r="19" spans="1:41" ht="45" hidden="1" customHeight="1" thickBot="1">
      <c r="A19" s="7" t="s">
        <v>38</v>
      </c>
      <c r="B19" t="e">
        <f>'ריכוז נתונים מההסכמים'!#REF!</f>
        <v>#REF!</v>
      </c>
      <c r="C19" s="13" t="e">
        <f>'ריכוז נתונים מההסכמים'!#REF!</f>
        <v>#REF!</v>
      </c>
      <c r="D19" s="13">
        <f t="shared" si="3"/>
        <v>0</v>
      </c>
      <c r="E19" s="13">
        <f t="shared" si="4"/>
        <v>0</v>
      </c>
      <c r="F19" s="13">
        <f t="shared" si="5"/>
        <v>0</v>
      </c>
      <c r="G19" s="13">
        <f t="shared" si="10"/>
        <v>0</v>
      </c>
      <c r="H19" s="13">
        <f t="shared" si="6"/>
        <v>0</v>
      </c>
      <c r="M19" s="131">
        <v>228800</v>
      </c>
      <c r="N19" s="222">
        <v>8740558</v>
      </c>
      <c r="O19" s="132" t="s">
        <v>248</v>
      </c>
      <c r="P19" s="132" t="s">
        <v>245</v>
      </c>
      <c r="Q19" s="133">
        <v>22514</v>
      </c>
      <c r="R19" s="132" t="s">
        <v>267</v>
      </c>
      <c r="S19" s="132" t="s">
        <v>10</v>
      </c>
      <c r="T19" s="134">
        <v>41777</v>
      </c>
      <c r="U19" s="172">
        <f t="shared" si="8"/>
        <v>2014</v>
      </c>
      <c r="V19" s="172">
        <f t="shared" si="9"/>
        <v>5</v>
      </c>
      <c r="W19" s="44" t="s">
        <v>271</v>
      </c>
      <c r="X19" t="s">
        <v>894</v>
      </c>
      <c r="Y19">
        <v>88</v>
      </c>
      <c r="AA19" s="13">
        <f t="shared" si="7"/>
        <v>228800</v>
      </c>
      <c r="AE19" s="102"/>
      <c r="AF19" s="103"/>
      <c r="AG19" s="103"/>
      <c r="AH19" s="103"/>
      <c r="AI19" s="104"/>
      <c r="AJ19" s="104"/>
      <c r="AK19" s="105"/>
      <c r="AL19" s="104"/>
      <c r="AM19" s="102"/>
      <c r="AN19" s="43"/>
      <c r="AO19" s="44"/>
    </row>
    <row r="20" spans="1:41" ht="45" hidden="1" customHeight="1" thickBot="1">
      <c r="A20" s="7" t="s">
        <v>235</v>
      </c>
      <c r="B20" t="e">
        <f>'ריכוז נתונים מההסכמים'!#REF!</f>
        <v>#REF!</v>
      </c>
      <c r="C20" s="13" t="e">
        <f>'ריכוז נתונים מההסכמים'!#REF!</f>
        <v>#REF!</v>
      </c>
      <c r="D20" s="13">
        <f t="shared" si="3"/>
        <v>233</v>
      </c>
      <c r="E20" s="13">
        <f t="shared" si="4"/>
        <v>117</v>
      </c>
      <c r="F20" s="13">
        <f t="shared" si="5"/>
        <v>116</v>
      </c>
      <c r="G20" s="13">
        <f t="shared" si="10"/>
        <v>27308040</v>
      </c>
      <c r="H20" s="13">
        <f t="shared" si="6"/>
        <v>1354777</v>
      </c>
      <c r="M20" s="131">
        <v>309668</v>
      </c>
      <c r="N20" s="222">
        <v>185204</v>
      </c>
      <c r="O20" s="132" t="s">
        <v>244</v>
      </c>
      <c r="P20" s="132" t="s">
        <v>245</v>
      </c>
      <c r="Q20" s="133">
        <v>193</v>
      </c>
      <c r="R20" s="132" t="s">
        <v>246</v>
      </c>
      <c r="S20" s="132" t="s">
        <v>10</v>
      </c>
      <c r="T20" s="134">
        <v>41756</v>
      </c>
      <c r="U20" s="172">
        <f t="shared" si="8"/>
        <v>2014</v>
      </c>
      <c r="V20" s="172">
        <f t="shared" si="9"/>
        <v>4</v>
      </c>
      <c r="W20" s="44" t="s">
        <v>272</v>
      </c>
      <c r="X20" t="s">
        <v>894</v>
      </c>
      <c r="Y20">
        <v>1</v>
      </c>
      <c r="AA20" s="13">
        <f t="shared" si="7"/>
        <v>309668</v>
      </c>
      <c r="AE20" s="102"/>
      <c r="AF20" s="103"/>
      <c r="AG20" s="103"/>
      <c r="AH20" s="103"/>
      <c r="AI20" s="104"/>
      <c r="AJ20" s="104"/>
      <c r="AK20" s="105"/>
      <c r="AL20" s="104"/>
      <c r="AM20" s="102"/>
      <c r="AN20" s="43"/>
      <c r="AO20" s="44"/>
    </row>
    <row r="21" spans="1:41" ht="45" hidden="1" customHeight="1" thickBot="1">
      <c r="A21" s="23" t="s">
        <v>148</v>
      </c>
      <c r="B21" t="e">
        <f>'ריכוז נתונים מההסכמים'!#REF!</f>
        <v>#REF!</v>
      </c>
      <c r="C21" s="13" t="e">
        <f>'ריכוז נתונים מההסכמים'!#REF!</f>
        <v>#REF!</v>
      </c>
      <c r="D21" s="13">
        <f t="shared" si="3"/>
        <v>0</v>
      </c>
      <c r="E21" s="13">
        <f t="shared" si="4"/>
        <v>0</v>
      </c>
      <c r="F21" s="13">
        <f t="shared" si="5"/>
        <v>0</v>
      </c>
      <c r="G21" s="13">
        <f t="shared" si="10"/>
        <v>0</v>
      </c>
      <c r="H21" s="13">
        <f t="shared" si="6"/>
        <v>0</v>
      </c>
      <c r="M21" s="131">
        <v>314818</v>
      </c>
      <c r="N21" s="222">
        <v>189202</v>
      </c>
      <c r="O21" s="132" t="s">
        <v>244</v>
      </c>
      <c r="P21" s="132" t="s">
        <v>245</v>
      </c>
      <c r="Q21" s="133">
        <v>228</v>
      </c>
      <c r="R21" s="132" t="s">
        <v>246</v>
      </c>
      <c r="S21" s="132" t="s">
        <v>10</v>
      </c>
      <c r="T21" s="134">
        <v>41756</v>
      </c>
      <c r="U21" s="172">
        <f t="shared" si="8"/>
        <v>2014</v>
      </c>
      <c r="V21" s="172">
        <f t="shared" si="9"/>
        <v>4</v>
      </c>
      <c r="W21" s="44" t="s">
        <v>272</v>
      </c>
      <c r="X21" t="s">
        <v>894</v>
      </c>
      <c r="Y21">
        <v>1</v>
      </c>
      <c r="AA21" s="13">
        <f t="shared" si="7"/>
        <v>314818</v>
      </c>
      <c r="AE21" s="102"/>
      <c r="AF21" s="103"/>
      <c r="AG21" s="103"/>
      <c r="AH21" s="103"/>
      <c r="AI21" s="104"/>
      <c r="AJ21" s="104"/>
      <c r="AK21" s="105"/>
      <c r="AL21" s="104"/>
      <c r="AM21" s="102"/>
      <c r="AN21" s="43"/>
      <c r="AO21" s="44"/>
    </row>
    <row r="22" spans="1:41" ht="45" customHeight="1" thickBot="1">
      <c r="A22" s="23" t="s">
        <v>149</v>
      </c>
      <c r="B22" t="e">
        <f>'ריכוז נתונים מההסכמים'!#REF!</f>
        <v>#REF!</v>
      </c>
      <c r="C22" s="13" t="e">
        <f>'ריכוז נתונים מההסכמים'!#REF!</f>
        <v>#REF!</v>
      </c>
      <c r="D22" s="13">
        <f t="shared" si="3"/>
        <v>0</v>
      </c>
      <c r="E22" s="13">
        <f t="shared" si="4"/>
        <v>0</v>
      </c>
      <c r="F22" s="13">
        <f t="shared" si="5"/>
        <v>0</v>
      </c>
      <c r="G22" s="13">
        <f t="shared" si="10"/>
        <v>0</v>
      </c>
      <c r="H22" s="13">
        <f t="shared" si="6"/>
        <v>0</v>
      </c>
      <c r="M22" s="131">
        <v>342000</v>
      </c>
      <c r="N22" s="222">
        <v>11085541</v>
      </c>
      <c r="O22" s="132" t="s">
        <v>248</v>
      </c>
      <c r="P22" s="132" t="s">
        <v>245</v>
      </c>
      <c r="Q22" s="133">
        <v>22517</v>
      </c>
      <c r="R22" s="132" t="s">
        <v>267</v>
      </c>
      <c r="S22" s="132" t="s">
        <v>10</v>
      </c>
      <c r="T22" s="134">
        <v>42064</v>
      </c>
      <c r="U22" s="172">
        <f t="shared" si="8"/>
        <v>2015</v>
      </c>
      <c r="V22" s="172">
        <f t="shared" si="9"/>
        <v>3</v>
      </c>
      <c r="W22" s="44" t="s">
        <v>268</v>
      </c>
      <c r="X22" t="s">
        <v>894</v>
      </c>
      <c r="Y22">
        <v>72</v>
      </c>
      <c r="AA22" s="13">
        <f t="shared" si="7"/>
        <v>342000</v>
      </c>
      <c r="AE22" s="102"/>
      <c r="AF22" s="103"/>
      <c r="AG22" s="103"/>
      <c r="AH22" s="103"/>
      <c r="AI22" s="104"/>
      <c r="AJ22" s="104"/>
      <c r="AK22" s="105"/>
      <c r="AL22" s="104"/>
      <c r="AM22" s="102"/>
      <c r="AN22" s="43"/>
      <c r="AO22" s="44"/>
    </row>
    <row r="23" spans="1:41" ht="45" hidden="1" customHeight="1" thickBot="1">
      <c r="A23" s="23" t="s">
        <v>150</v>
      </c>
      <c r="B23" t="e">
        <f>'ריכוז נתונים מההסכמים'!#REF!</f>
        <v>#REF!</v>
      </c>
      <c r="C23" s="13" t="e">
        <f>'ריכוז נתונים מההסכמים'!#REF!</f>
        <v>#REF!</v>
      </c>
      <c r="D23" s="13">
        <f t="shared" si="3"/>
        <v>0</v>
      </c>
      <c r="E23" s="13">
        <f t="shared" si="4"/>
        <v>0</v>
      </c>
      <c r="F23" s="13">
        <f t="shared" si="5"/>
        <v>0</v>
      </c>
      <c r="G23" s="13">
        <f t="shared" si="10"/>
        <v>0</v>
      </c>
      <c r="H23" s="13">
        <f t="shared" si="6"/>
        <v>0</v>
      </c>
      <c r="M23" s="131">
        <v>412532</v>
      </c>
      <c r="N23" s="222">
        <v>220740</v>
      </c>
      <c r="O23" s="132" t="s">
        <v>244</v>
      </c>
      <c r="P23" s="132" t="s">
        <v>245</v>
      </c>
      <c r="Q23" s="133">
        <v>403</v>
      </c>
      <c r="R23" s="132" t="s">
        <v>246</v>
      </c>
      <c r="S23" s="132" t="s">
        <v>10</v>
      </c>
      <c r="T23" s="134">
        <v>41756</v>
      </c>
      <c r="U23" s="172">
        <f t="shared" si="8"/>
        <v>2014</v>
      </c>
      <c r="V23" s="172">
        <f t="shared" si="9"/>
        <v>4</v>
      </c>
      <c r="W23" s="44" t="s">
        <v>272</v>
      </c>
      <c r="X23" t="s">
        <v>894</v>
      </c>
      <c r="Y23">
        <v>1</v>
      </c>
      <c r="AA23" s="13">
        <f t="shared" si="7"/>
        <v>412532</v>
      </c>
      <c r="AE23" s="102"/>
      <c r="AF23" s="103"/>
      <c r="AG23" s="103"/>
      <c r="AH23" s="103"/>
      <c r="AI23" s="104"/>
      <c r="AJ23" s="104"/>
      <c r="AK23" s="105"/>
      <c r="AL23" s="104"/>
      <c r="AM23" s="102"/>
    </row>
    <row r="24" spans="1:41" ht="45" hidden="1" customHeight="1" thickBot="1">
      <c r="A24" s="23" t="s">
        <v>151</v>
      </c>
      <c r="B24" t="e">
        <f>'ריכוז נתונים מההסכמים'!#REF!</f>
        <v>#REF!</v>
      </c>
      <c r="C24" s="13" t="e">
        <f>'ריכוז נתונים מההסכמים'!#REF!</f>
        <v>#REF!</v>
      </c>
      <c r="D24" s="13">
        <f t="shared" si="3"/>
        <v>0</v>
      </c>
      <c r="E24" s="13">
        <f t="shared" si="4"/>
        <v>0</v>
      </c>
      <c r="F24" s="13">
        <f t="shared" si="5"/>
        <v>0</v>
      </c>
      <c r="G24" s="13">
        <f t="shared" si="10"/>
        <v>0</v>
      </c>
      <c r="H24" s="13">
        <f t="shared" si="6"/>
        <v>0</v>
      </c>
      <c r="M24" s="131">
        <v>412532</v>
      </c>
      <c r="N24" s="223">
        <v>220740</v>
      </c>
      <c r="O24" s="132" t="s">
        <v>244</v>
      </c>
      <c r="P24" s="132" t="s">
        <v>245</v>
      </c>
      <c r="Q24" s="133">
        <v>405</v>
      </c>
      <c r="R24" s="132" t="s">
        <v>246</v>
      </c>
      <c r="S24" s="132" t="s">
        <v>10</v>
      </c>
      <c r="T24" s="134">
        <v>41756</v>
      </c>
      <c r="U24" s="172">
        <f t="shared" si="8"/>
        <v>2014</v>
      </c>
      <c r="V24" s="172">
        <f t="shared" si="9"/>
        <v>4</v>
      </c>
      <c r="W24" s="44" t="s">
        <v>272</v>
      </c>
      <c r="X24" t="s">
        <v>894</v>
      </c>
      <c r="Y24">
        <v>1</v>
      </c>
      <c r="AA24" s="13">
        <f t="shared" si="7"/>
        <v>412532</v>
      </c>
      <c r="AE24" s="102"/>
      <c r="AF24" s="103"/>
      <c r="AG24" s="103"/>
      <c r="AH24" s="103"/>
      <c r="AI24" s="104"/>
      <c r="AJ24" s="104"/>
      <c r="AK24" s="105"/>
      <c r="AL24" s="104"/>
      <c r="AM24" s="102"/>
    </row>
    <row r="25" spans="1:41" ht="45" customHeight="1" thickBot="1">
      <c r="A25" s="23" t="s">
        <v>152</v>
      </c>
      <c r="B25" t="e">
        <f>'ריכוז נתונים מההסכמים'!#REF!</f>
        <v>#REF!</v>
      </c>
      <c r="C25" s="13" t="e">
        <f>'ריכוז נתונים מההסכמים'!#REF!</f>
        <v>#REF!</v>
      </c>
      <c r="D25" s="13">
        <f t="shared" si="3"/>
        <v>0</v>
      </c>
      <c r="E25" s="13">
        <f t="shared" si="4"/>
        <v>0</v>
      </c>
      <c r="F25" s="13">
        <f t="shared" si="5"/>
        <v>0</v>
      </c>
      <c r="G25" s="13">
        <f t="shared" si="10"/>
        <v>0</v>
      </c>
      <c r="H25" s="13">
        <f t="shared" si="6"/>
        <v>0</v>
      </c>
      <c r="M25" s="131">
        <v>414000</v>
      </c>
      <c r="N25" s="223">
        <v>8670130</v>
      </c>
      <c r="O25" s="132" t="s">
        <v>248</v>
      </c>
      <c r="P25" s="132" t="s">
        <v>245</v>
      </c>
      <c r="Q25" s="133">
        <v>22529</v>
      </c>
      <c r="R25" s="132" t="s">
        <v>10</v>
      </c>
      <c r="S25" s="132" t="s">
        <v>10</v>
      </c>
      <c r="T25" s="134">
        <v>42204</v>
      </c>
      <c r="U25" s="172">
        <f t="shared" si="8"/>
        <v>2015</v>
      </c>
      <c r="V25" s="172">
        <f t="shared" si="9"/>
        <v>7</v>
      </c>
      <c r="W25" s="44" t="s">
        <v>266</v>
      </c>
      <c r="X25" t="s">
        <v>894</v>
      </c>
      <c r="Y25">
        <v>50</v>
      </c>
      <c r="AA25" s="13">
        <f t="shared" si="7"/>
        <v>414000</v>
      </c>
      <c r="AE25" s="102"/>
      <c r="AF25" s="103"/>
      <c r="AG25" s="103"/>
      <c r="AH25" s="103"/>
      <c r="AI25" s="104"/>
      <c r="AJ25" s="104"/>
      <c r="AK25" s="105"/>
      <c r="AL25" s="104"/>
      <c r="AM25" s="102"/>
    </row>
    <row r="26" spans="1:41" ht="45" hidden="1" customHeight="1" thickBot="1">
      <c r="A26" s="23" t="s">
        <v>153</v>
      </c>
      <c r="B26" t="e">
        <f>'ריכוז נתונים מההסכמים'!#REF!</f>
        <v>#REF!</v>
      </c>
      <c r="C26" s="13" t="e">
        <f>'ריכוז נתונים מההסכמים'!#REF!</f>
        <v>#REF!</v>
      </c>
      <c r="D26" s="13">
        <f t="shared" si="3"/>
        <v>0</v>
      </c>
      <c r="E26" s="13">
        <f t="shared" si="4"/>
        <v>0</v>
      </c>
      <c r="F26" s="13">
        <f t="shared" si="5"/>
        <v>0</v>
      </c>
      <c r="G26" s="13">
        <f t="shared" si="10"/>
        <v>0</v>
      </c>
      <c r="H26" s="13">
        <f t="shared" si="6"/>
        <v>0</v>
      </c>
      <c r="M26" s="131">
        <v>434436</v>
      </c>
      <c r="N26" s="223">
        <v>189646</v>
      </c>
      <c r="O26" s="132" t="s">
        <v>244</v>
      </c>
      <c r="P26" s="132" t="s">
        <v>245</v>
      </c>
      <c r="Q26" s="133">
        <v>198</v>
      </c>
      <c r="R26" s="132" t="s">
        <v>246</v>
      </c>
      <c r="S26" s="132" t="s">
        <v>10</v>
      </c>
      <c r="T26" s="134">
        <v>41707</v>
      </c>
      <c r="U26" s="172">
        <f t="shared" si="8"/>
        <v>2014</v>
      </c>
      <c r="V26" s="172">
        <f t="shared" si="9"/>
        <v>3</v>
      </c>
      <c r="W26" s="44" t="s">
        <v>273</v>
      </c>
      <c r="X26" t="s">
        <v>894</v>
      </c>
      <c r="Y26">
        <v>1</v>
      </c>
      <c r="AA26" s="13">
        <f t="shared" si="7"/>
        <v>434436</v>
      </c>
      <c r="AE26" s="102"/>
      <c r="AF26" s="103"/>
      <c r="AG26" s="103"/>
      <c r="AH26" s="103"/>
      <c r="AI26" s="104"/>
      <c r="AJ26" s="104"/>
      <c r="AK26" s="105"/>
      <c r="AL26" s="104"/>
      <c r="AM26" s="102"/>
    </row>
    <row r="27" spans="1:41" ht="45" hidden="1" customHeight="1" thickBot="1">
      <c r="C27" s="15" t="e">
        <f t="shared" ref="C27:H27" si="11">SUM(C2:C20)</f>
        <v>#REF!</v>
      </c>
      <c r="D27" s="15">
        <f t="shared" si="11"/>
        <v>48482.47</v>
      </c>
      <c r="E27" s="15">
        <f t="shared" si="11"/>
        <v>36138</v>
      </c>
      <c r="F27" s="15">
        <f t="shared" si="11"/>
        <v>25160</v>
      </c>
      <c r="G27" s="15">
        <f t="shared" si="11"/>
        <v>6853236318</v>
      </c>
      <c r="H27" s="15">
        <f t="shared" si="11"/>
        <v>5413209087</v>
      </c>
      <c r="I27" s="15">
        <f>(H27+G27)/D27</f>
        <v>253007.84809437307</v>
      </c>
      <c r="J27" s="15" t="e">
        <f>I27*C27</f>
        <v>#REF!</v>
      </c>
      <c r="M27" s="131">
        <v>458371</v>
      </c>
      <c r="N27" s="222">
        <v>179207</v>
      </c>
      <c r="O27" s="132" t="s">
        <v>244</v>
      </c>
      <c r="P27" s="132" t="s">
        <v>245</v>
      </c>
      <c r="Q27" s="133">
        <v>233</v>
      </c>
      <c r="R27" s="132" t="s">
        <v>246</v>
      </c>
      <c r="S27" s="132" t="s">
        <v>10</v>
      </c>
      <c r="T27" s="134">
        <v>41707</v>
      </c>
      <c r="U27" s="172">
        <f t="shared" si="8"/>
        <v>2014</v>
      </c>
      <c r="V27" s="172">
        <f t="shared" si="9"/>
        <v>3</v>
      </c>
      <c r="W27" s="44" t="s">
        <v>273</v>
      </c>
      <c r="X27" t="s">
        <v>894</v>
      </c>
      <c r="Y27">
        <v>1</v>
      </c>
      <c r="AA27" s="13">
        <f t="shared" si="7"/>
        <v>458371</v>
      </c>
      <c r="AE27" s="102"/>
      <c r="AF27" s="103"/>
      <c r="AG27" s="103"/>
      <c r="AH27" s="103"/>
      <c r="AI27" s="104"/>
      <c r="AJ27" s="104"/>
      <c r="AK27" s="105"/>
      <c r="AL27" s="104"/>
      <c r="AM27" s="102"/>
    </row>
    <row r="28" spans="1:41" ht="45" customHeight="1" thickBot="1">
      <c r="M28" s="131">
        <v>460000</v>
      </c>
      <c r="N28" s="223">
        <v>7643529</v>
      </c>
      <c r="O28" s="132" t="s">
        <v>248</v>
      </c>
      <c r="P28" s="132" t="s">
        <v>245</v>
      </c>
      <c r="Q28" s="133">
        <v>22527</v>
      </c>
      <c r="R28" s="132" t="s">
        <v>10</v>
      </c>
      <c r="S28" s="132" t="s">
        <v>10</v>
      </c>
      <c r="T28" s="134">
        <v>42204</v>
      </c>
      <c r="U28" s="172">
        <f t="shared" si="8"/>
        <v>2015</v>
      </c>
      <c r="V28" s="172">
        <f t="shared" si="9"/>
        <v>7</v>
      </c>
      <c r="W28" s="44" t="s">
        <v>266</v>
      </c>
      <c r="X28" t="s">
        <v>894</v>
      </c>
      <c r="Y28">
        <v>40</v>
      </c>
      <c r="AA28" s="13">
        <f t="shared" si="7"/>
        <v>460000</v>
      </c>
      <c r="AE28" s="102"/>
      <c r="AF28" s="103"/>
      <c r="AG28" s="103"/>
      <c r="AH28" s="103"/>
      <c r="AI28" s="104"/>
      <c r="AJ28" s="104"/>
      <c r="AK28" s="105"/>
      <c r="AL28" s="104"/>
      <c r="AM28" s="102"/>
    </row>
    <row r="29" spans="1:41" ht="45.75" customHeight="1" thickBot="1">
      <c r="A29" s="47" t="s">
        <v>704</v>
      </c>
      <c r="B29" s="47" t="s">
        <v>705</v>
      </c>
      <c r="C29" s="47" t="s">
        <v>706</v>
      </c>
      <c r="D29" s="47" t="s">
        <v>707</v>
      </c>
      <c r="E29" s="47" t="s">
        <v>708</v>
      </c>
      <c r="F29" s="47" t="s">
        <v>709</v>
      </c>
      <c r="M29" s="131">
        <v>500000</v>
      </c>
      <c r="N29" s="223">
        <v>6800712</v>
      </c>
      <c r="O29" s="132" t="s">
        <v>248</v>
      </c>
      <c r="P29" s="132" t="s">
        <v>245</v>
      </c>
      <c r="Q29" s="133">
        <v>22542</v>
      </c>
      <c r="R29" s="132" t="s">
        <v>10</v>
      </c>
      <c r="S29" s="132" t="s">
        <v>10</v>
      </c>
      <c r="T29" s="134">
        <v>42204</v>
      </c>
      <c r="U29" s="172">
        <f t="shared" si="8"/>
        <v>2015</v>
      </c>
      <c r="V29" s="172">
        <f t="shared" si="9"/>
        <v>7</v>
      </c>
      <c r="W29" s="44" t="s">
        <v>266</v>
      </c>
      <c r="X29" t="s">
        <v>894</v>
      </c>
      <c r="Y29">
        <v>40</v>
      </c>
      <c r="AA29" s="13">
        <f t="shared" si="7"/>
        <v>500000</v>
      </c>
      <c r="AE29" s="102"/>
      <c r="AF29" s="103"/>
      <c r="AG29" s="103"/>
      <c r="AH29" s="103"/>
      <c r="AI29" s="104"/>
      <c r="AJ29" s="104"/>
      <c r="AK29" s="105"/>
      <c r="AL29" s="104"/>
      <c r="AM29" s="102"/>
    </row>
    <row r="30" spans="1:41" ht="45" customHeight="1" thickBot="1">
      <c r="A30" s="240" t="s">
        <v>14</v>
      </c>
      <c r="B30" s="48" t="s">
        <v>123</v>
      </c>
      <c r="C30" s="243" t="s">
        <v>712</v>
      </c>
      <c r="D30" s="246" t="s">
        <v>713</v>
      </c>
      <c r="E30" s="80" t="s">
        <v>714</v>
      </c>
      <c r="F30" s="51" t="s">
        <v>715</v>
      </c>
      <c r="G30" s="80" t="s">
        <v>714</v>
      </c>
      <c r="M30" s="131">
        <v>501666</v>
      </c>
      <c r="N30" s="223">
        <v>340804</v>
      </c>
      <c r="O30" s="132" t="s">
        <v>244</v>
      </c>
      <c r="P30" s="132" t="s">
        <v>245</v>
      </c>
      <c r="Q30" s="133">
        <v>532</v>
      </c>
      <c r="R30" s="132" t="s">
        <v>246</v>
      </c>
      <c r="S30" s="132" t="s">
        <v>10</v>
      </c>
      <c r="T30" s="134">
        <v>42466</v>
      </c>
      <c r="U30" s="172">
        <f t="shared" si="8"/>
        <v>2016</v>
      </c>
      <c r="V30" s="172">
        <f t="shared" si="9"/>
        <v>4</v>
      </c>
      <c r="W30" s="44" t="s">
        <v>265</v>
      </c>
      <c r="X30" t="s">
        <v>894</v>
      </c>
      <c r="Y30">
        <v>1</v>
      </c>
      <c r="AA30" s="13">
        <f t="shared" si="7"/>
        <v>501666</v>
      </c>
      <c r="AE30" s="102"/>
      <c r="AF30" s="103"/>
      <c r="AG30" s="103"/>
      <c r="AH30" s="103"/>
      <c r="AI30" s="104"/>
      <c r="AJ30" s="104"/>
      <c r="AK30" s="105"/>
      <c r="AL30" s="104"/>
      <c r="AM30" s="102"/>
    </row>
    <row r="31" spans="1:41" ht="45" customHeight="1" thickBot="1">
      <c r="A31" s="241"/>
      <c r="B31" s="49" t="s">
        <v>710</v>
      </c>
      <c r="C31" s="244"/>
      <c r="D31" s="247"/>
      <c r="E31" s="81"/>
      <c r="F31" s="52" t="s">
        <v>716</v>
      </c>
      <c r="G31" s="81"/>
      <c r="M31" s="131">
        <v>510000</v>
      </c>
      <c r="N31" s="223">
        <v>340804</v>
      </c>
      <c r="O31" s="132" t="s">
        <v>244</v>
      </c>
      <c r="P31" s="132" t="s">
        <v>245</v>
      </c>
      <c r="Q31" s="133">
        <v>478</v>
      </c>
      <c r="R31" s="132" t="s">
        <v>246</v>
      </c>
      <c r="S31" s="132" t="s">
        <v>10</v>
      </c>
      <c r="T31" s="134">
        <v>42466</v>
      </c>
      <c r="U31" s="172">
        <f t="shared" si="8"/>
        <v>2016</v>
      </c>
      <c r="V31" s="172">
        <f t="shared" si="9"/>
        <v>4</v>
      </c>
      <c r="W31" s="44" t="s">
        <v>265</v>
      </c>
      <c r="X31" t="s">
        <v>894</v>
      </c>
      <c r="Y31">
        <v>1</v>
      </c>
      <c r="AA31" s="13">
        <f t="shared" si="7"/>
        <v>510000</v>
      </c>
      <c r="AE31" s="102"/>
      <c r="AF31" s="103"/>
      <c r="AG31" s="103"/>
      <c r="AH31" s="103"/>
      <c r="AI31" s="104"/>
      <c r="AJ31" s="104"/>
      <c r="AK31" s="105"/>
      <c r="AL31" s="104"/>
      <c r="AM31" s="102"/>
    </row>
    <row r="32" spans="1:41" ht="45" customHeight="1" thickBot="1">
      <c r="A32" s="241"/>
      <c r="B32" s="49" t="s">
        <v>125</v>
      </c>
      <c r="C32" s="244"/>
      <c r="D32" s="247"/>
      <c r="E32" s="81"/>
      <c r="F32" s="53" t="s">
        <v>131</v>
      </c>
      <c r="G32" s="81"/>
      <c r="M32" s="131">
        <v>520000</v>
      </c>
      <c r="N32" s="223">
        <v>338210</v>
      </c>
      <c r="O32" s="132" t="s">
        <v>244</v>
      </c>
      <c r="P32" s="132" t="s">
        <v>245</v>
      </c>
      <c r="Q32" s="133">
        <v>475</v>
      </c>
      <c r="R32" s="132" t="s">
        <v>246</v>
      </c>
      <c r="S32" s="132" t="s">
        <v>10</v>
      </c>
      <c r="T32" s="134">
        <v>42466</v>
      </c>
      <c r="U32" s="172">
        <f t="shared" si="8"/>
        <v>2016</v>
      </c>
      <c r="V32" s="172">
        <f t="shared" si="9"/>
        <v>4</v>
      </c>
      <c r="W32" s="44" t="s">
        <v>265</v>
      </c>
      <c r="X32" t="s">
        <v>894</v>
      </c>
      <c r="Y32">
        <v>1</v>
      </c>
      <c r="AA32" s="13">
        <f t="shared" si="7"/>
        <v>520000</v>
      </c>
      <c r="AE32" s="102"/>
      <c r="AF32" s="103"/>
      <c r="AG32" s="103"/>
      <c r="AH32" s="103"/>
      <c r="AI32" s="104"/>
      <c r="AJ32" s="104"/>
      <c r="AK32" s="105"/>
      <c r="AL32" s="104"/>
      <c r="AM32" s="102"/>
    </row>
    <row r="33" spans="1:39" ht="45" hidden="1" customHeight="1" thickBot="1">
      <c r="A33" s="241"/>
      <c r="B33" s="49" t="s">
        <v>126</v>
      </c>
      <c r="C33" s="244"/>
      <c r="D33" s="247"/>
      <c r="E33" s="81"/>
      <c r="F33" s="52" t="s">
        <v>134</v>
      </c>
      <c r="G33" s="81"/>
      <c r="M33" s="131">
        <v>521000</v>
      </c>
      <c r="N33" s="223">
        <v>189201</v>
      </c>
      <c r="O33" s="132" t="s">
        <v>244</v>
      </c>
      <c r="P33" s="132" t="s">
        <v>245</v>
      </c>
      <c r="Q33" s="133">
        <v>141</v>
      </c>
      <c r="R33" s="132" t="s">
        <v>246</v>
      </c>
      <c r="S33" s="132" t="s">
        <v>10</v>
      </c>
      <c r="T33" s="134">
        <v>41707</v>
      </c>
      <c r="U33" s="172">
        <f t="shared" si="8"/>
        <v>2014</v>
      </c>
      <c r="V33" s="172">
        <f t="shared" si="9"/>
        <v>3</v>
      </c>
      <c r="W33" s="44" t="s">
        <v>273</v>
      </c>
      <c r="X33" t="s">
        <v>894</v>
      </c>
      <c r="Y33">
        <v>1</v>
      </c>
      <c r="AA33" s="13">
        <f t="shared" si="7"/>
        <v>521000</v>
      </c>
      <c r="AE33" s="102"/>
      <c r="AF33" s="103"/>
      <c r="AG33" s="103"/>
      <c r="AH33" s="103"/>
      <c r="AI33" s="104"/>
      <c r="AJ33" s="104"/>
      <c r="AK33" s="105"/>
      <c r="AL33" s="104"/>
      <c r="AM33" s="102"/>
    </row>
    <row r="34" spans="1:39" ht="45" customHeight="1" thickBot="1">
      <c r="A34" s="241"/>
      <c r="B34" s="49" t="s">
        <v>127</v>
      </c>
      <c r="C34" s="244"/>
      <c r="D34" s="247"/>
      <c r="E34" s="81"/>
      <c r="F34" s="53" t="s">
        <v>717</v>
      </c>
      <c r="G34" s="81"/>
      <c r="M34" s="131">
        <v>522000</v>
      </c>
      <c r="N34" s="223">
        <v>8117964</v>
      </c>
      <c r="O34" s="132" t="s">
        <v>248</v>
      </c>
      <c r="P34" s="132" t="s">
        <v>245</v>
      </c>
      <c r="Q34" s="133">
        <v>22524</v>
      </c>
      <c r="R34" s="132" t="s">
        <v>10</v>
      </c>
      <c r="S34" s="132" t="s">
        <v>10</v>
      </c>
      <c r="T34" s="134">
        <v>42204</v>
      </c>
      <c r="U34" s="172">
        <f t="shared" si="8"/>
        <v>2015</v>
      </c>
      <c r="V34" s="172">
        <f t="shared" si="9"/>
        <v>7</v>
      </c>
      <c r="W34" s="44" t="s">
        <v>266</v>
      </c>
      <c r="X34" t="s">
        <v>894</v>
      </c>
      <c r="Y34">
        <v>48</v>
      </c>
      <c r="AA34" s="13">
        <f t="shared" si="7"/>
        <v>522000</v>
      </c>
      <c r="AE34" s="102"/>
      <c r="AF34" s="103"/>
      <c r="AG34" s="103"/>
      <c r="AH34" s="103"/>
      <c r="AI34" s="104"/>
      <c r="AJ34" s="104"/>
      <c r="AK34" s="105"/>
      <c r="AL34" s="104"/>
      <c r="AM34" s="102"/>
    </row>
    <row r="35" spans="1:39" ht="45" hidden="1" customHeight="1" thickBot="1">
      <c r="A35" s="241"/>
      <c r="B35" s="49" t="s">
        <v>128</v>
      </c>
      <c r="C35" s="244"/>
      <c r="D35" s="247"/>
      <c r="E35" s="81"/>
      <c r="F35" s="52" t="s">
        <v>718</v>
      </c>
      <c r="G35" s="81"/>
      <c r="M35" s="131">
        <v>527000</v>
      </c>
      <c r="N35" s="223">
        <v>222072</v>
      </c>
      <c r="O35" s="132" t="s">
        <v>244</v>
      </c>
      <c r="P35" s="132" t="s">
        <v>245</v>
      </c>
      <c r="Q35" s="133">
        <v>291</v>
      </c>
      <c r="R35" s="132" t="s">
        <v>246</v>
      </c>
      <c r="S35" s="132" t="s">
        <v>10</v>
      </c>
      <c r="T35" s="134">
        <v>41707</v>
      </c>
      <c r="U35" s="172">
        <f t="shared" si="8"/>
        <v>2014</v>
      </c>
      <c r="V35" s="172">
        <f t="shared" si="9"/>
        <v>3</v>
      </c>
      <c r="W35" s="44" t="s">
        <v>273</v>
      </c>
      <c r="X35" t="s">
        <v>894</v>
      </c>
      <c r="Y35">
        <v>1</v>
      </c>
      <c r="AA35" s="13">
        <f t="shared" si="7"/>
        <v>527000</v>
      </c>
      <c r="AE35" s="102"/>
      <c r="AF35" s="103"/>
      <c r="AG35" s="103"/>
      <c r="AH35" s="103"/>
      <c r="AI35" s="104"/>
      <c r="AJ35" s="104"/>
      <c r="AK35" s="105"/>
      <c r="AL35" s="104"/>
      <c r="AM35" s="102"/>
    </row>
    <row r="36" spans="1:39" ht="45.75" hidden="1" customHeight="1" thickBot="1">
      <c r="A36" s="242"/>
      <c r="B36" s="50" t="s">
        <v>711</v>
      </c>
      <c r="C36" s="245"/>
      <c r="D36" s="248"/>
      <c r="E36" s="82"/>
      <c r="F36" s="54"/>
      <c r="G36" s="82"/>
      <c r="M36" s="131">
        <v>537000</v>
      </c>
      <c r="N36" s="223">
        <v>220517</v>
      </c>
      <c r="O36" s="132" t="s">
        <v>244</v>
      </c>
      <c r="P36" s="132" t="s">
        <v>245</v>
      </c>
      <c r="Q36" s="133">
        <v>423</v>
      </c>
      <c r="R36" s="132" t="s">
        <v>246</v>
      </c>
      <c r="S36" s="132" t="s">
        <v>10</v>
      </c>
      <c r="T36" s="134">
        <v>41707</v>
      </c>
      <c r="U36" s="172">
        <f t="shared" si="8"/>
        <v>2014</v>
      </c>
      <c r="V36" s="172">
        <f t="shared" si="9"/>
        <v>3</v>
      </c>
      <c r="W36" s="44" t="s">
        <v>273</v>
      </c>
      <c r="X36" t="s">
        <v>894</v>
      </c>
      <c r="Y36">
        <v>1</v>
      </c>
      <c r="AA36" s="13">
        <f t="shared" si="7"/>
        <v>537000</v>
      </c>
      <c r="AE36" s="102"/>
      <c r="AF36" s="103"/>
      <c r="AG36" s="103"/>
      <c r="AH36" s="103"/>
      <c r="AI36" s="104"/>
      <c r="AJ36" s="104"/>
      <c r="AK36" s="105"/>
      <c r="AL36" s="104"/>
      <c r="AM36" s="102"/>
    </row>
    <row r="37" spans="1:39" ht="45" hidden="1" customHeight="1" thickBot="1">
      <c r="A37" s="240" t="s">
        <v>146</v>
      </c>
      <c r="B37" s="243"/>
      <c r="C37" s="243" t="s">
        <v>712</v>
      </c>
      <c r="D37" s="55"/>
      <c r="E37" s="83"/>
      <c r="F37" s="243"/>
      <c r="G37" s="83"/>
      <c r="M37" s="131">
        <v>541000</v>
      </c>
      <c r="N37" s="223">
        <v>220295</v>
      </c>
      <c r="O37" s="132" t="s">
        <v>244</v>
      </c>
      <c r="P37" s="132" t="s">
        <v>245</v>
      </c>
      <c r="Q37" s="133">
        <v>292</v>
      </c>
      <c r="R37" s="132" t="s">
        <v>246</v>
      </c>
      <c r="S37" s="132" t="s">
        <v>10</v>
      </c>
      <c r="T37" s="134">
        <v>41707</v>
      </c>
      <c r="U37" s="172">
        <f t="shared" si="8"/>
        <v>2014</v>
      </c>
      <c r="V37" s="172">
        <f t="shared" si="9"/>
        <v>3</v>
      </c>
      <c r="W37" s="44" t="s">
        <v>273</v>
      </c>
      <c r="X37" t="s">
        <v>894</v>
      </c>
      <c r="Y37">
        <v>1</v>
      </c>
      <c r="AA37" s="13">
        <f t="shared" si="7"/>
        <v>541000</v>
      </c>
      <c r="AE37" s="102"/>
      <c r="AF37" s="103"/>
      <c r="AG37" s="103"/>
      <c r="AH37" s="103"/>
      <c r="AI37" s="104"/>
      <c r="AJ37" s="104"/>
      <c r="AK37" s="105"/>
      <c r="AL37" s="104"/>
      <c r="AM37" s="102"/>
    </row>
    <row r="38" spans="1:39" ht="45" customHeight="1" thickBot="1">
      <c r="A38" s="241"/>
      <c r="B38" s="244"/>
      <c r="C38" s="244"/>
      <c r="D38" s="56">
        <v>10160</v>
      </c>
      <c r="E38" s="84"/>
      <c r="F38" s="244"/>
      <c r="G38" s="84"/>
      <c r="M38" s="131">
        <v>550000</v>
      </c>
      <c r="N38" s="223">
        <v>337345</v>
      </c>
      <c r="O38" s="132" t="s">
        <v>244</v>
      </c>
      <c r="P38" s="132" t="s">
        <v>245</v>
      </c>
      <c r="Q38" s="133">
        <v>469</v>
      </c>
      <c r="R38" s="132" t="s">
        <v>246</v>
      </c>
      <c r="S38" s="132" t="s">
        <v>10</v>
      </c>
      <c r="T38" s="134">
        <v>42466</v>
      </c>
      <c r="U38" s="172">
        <f t="shared" si="8"/>
        <v>2016</v>
      </c>
      <c r="V38" s="172">
        <f t="shared" si="9"/>
        <v>4</v>
      </c>
      <c r="W38" s="44" t="s">
        <v>265</v>
      </c>
      <c r="X38" t="s">
        <v>894</v>
      </c>
      <c r="Y38">
        <v>1</v>
      </c>
      <c r="AA38" s="13">
        <f t="shared" si="7"/>
        <v>550000</v>
      </c>
      <c r="AE38" s="102"/>
      <c r="AF38" s="103"/>
      <c r="AG38" s="103"/>
      <c r="AH38" s="103"/>
      <c r="AI38" s="104"/>
      <c r="AJ38" s="104"/>
      <c r="AK38" s="105"/>
      <c r="AL38" s="104"/>
      <c r="AM38" s="106"/>
    </row>
    <row r="39" spans="1:39" ht="45.75" customHeight="1" thickBot="1">
      <c r="A39" s="242"/>
      <c r="B39" s="245"/>
      <c r="C39" s="245"/>
      <c r="D39" s="57"/>
      <c r="E39" s="85"/>
      <c r="F39" s="245"/>
      <c r="G39" s="85"/>
      <c r="M39" s="131">
        <v>550000</v>
      </c>
      <c r="N39" s="223">
        <v>340804</v>
      </c>
      <c r="O39" s="132" t="s">
        <v>244</v>
      </c>
      <c r="P39" s="132" t="s">
        <v>245</v>
      </c>
      <c r="Q39" s="133">
        <v>477</v>
      </c>
      <c r="R39" s="132" t="s">
        <v>246</v>
      </c>
      <c r="S39" s="132" t="s">
        <v>10</v>
      </c>
      <c r="T39" s="134">
        <v>42466</v>
      </c>
      <c r="U39" s="172">
        <f t="shared" si="8"/>
        <v>2016</v>
      </c>
      <c r="V39" s="172">
        <f t="shared" si="9"/>
        <v>4</v>
      </c>
      <c r="W39" s="44" t="s">
        <v>265</v>
      </c>
      <c r="X39" t="s">
        <v>894</v>
      </c>
      <c r="Y39">
        <v>1</v>
      </c>
      <c r="AA39" s="13">
        <f t="shared" si="7"/>
        <v>550000</v>
      </c>
      <c r="AE39" s="102"/>
      <c r="AF39" s="103"/>
      <c r="AG39" s="103"/>
      <c r="AH39" s="103"/>
      <c r="AI39" s="104"/>
      <c r="AJ39" s="104"/>
      <c r="AK39" s="105"/>
      <c r="AL39" s="104"/>
      <c r="AM39" s="102"/>
    </row>
    <row r="40" spans="1:39" ht="30" hidden="1" customHeight="1" thickBot="1">
      <c r="A40" s="240" t="s">
        <v>147</v>
      </c>
      <c r="B40" s="58" t="s">
        <v>174</v>
      </c>
      <c r="C40" s="243" t="s">
        <v>232</v>
      </c>
      <c r="D40" s="246" t="s">
        <v>720</v>
      </c>
      <c r="E40" s="51" t="s">
        <v>808</v>
      </c>
      <c r="F40" s="58" t="s">
        <v>724</v>
      </c>
      <c r="G40" s="51" t="s">
        <v>807</v>
      </c>
      <c r="M40" s="131">
        <v>554000</v>
      </c>
      <c r="N40" s="223">
        <v>222738</v>
      </c>
      <c r="O40" s="132" t="s">
        <v>244</v>
      </c>
      <c r="P40" s="132" t="s">
        <v>245</v>
      </c>
      <c r="Q40" s="133">
        <v>454</v>
      </c>
      <c r="R40" s="132" t="s">
        <v>246</v>
      </c>
      <c r="S40" s="132" t="s">
        <v>10</v>
      </c>
      <c r="T40" s="134">
        <v>41707</v>
      </c>
      <c r="U40" s="172">
        <f t="shared" si="8"/>
        <v>2014</v>
      </c>
      <c r="V40" s="172">
        <f t="shared" si="9"/>
        <v>3</v>
      </c>
      <c r="W40" s="44" t="s">
        <v>273</v>
      </c>
      <c r="X40" t="s">
        <v>894</v>
      </c>
      <c r="Y40">
        <v>1</v>
      </c>
      <c r="AA40" s="13">
        <f t="shared" si="7"/>
        <v>554000</v>
      </c>
      <c r="AE40" s="102"/>
      <c r="AF40" s="103"/>
      <c r="AG40" s="103"/>
      <c r="AH40" s="103"/>
      <c r="AI40" s="104"/>
      <c r="AJ40" s="104"/>
      <c r="AK40" s="105"/>
      <c r="AL40" s="104"/>
      <c r="AM40" s="102"/>
    </row>
    <row r="41" spans="1:39" ht="45" customHeight="1" thickBot="1">
      <c r="A41" s="241"/>
      <c r="B41" s="52" t="s">
        <v>719</v>
      </c>
      <c r="C41" s="244"/>
      <c r="D41" s="247"/>
      <c r="E41" s="52" t="s">
        <v>721</v>
      </c>
      <c r="F41" s="52" t="s">
        <v>725</v>
      </c>
      <c r="G41" s="52" t="s">
        <v>721</v>
      </c>
      <c r="M41" s="131">
        <v>559999</v>
      </c>
      <c r="N41" s="223">
        <v>336480</v>
      </c>
      <c r="O41" s="132" t="s">
        <v>244</v>
      </c>
      <c r="P41" s="132" t="s">
        <v>245</v>
      </c>
      <c r="Q41" s="133">
        <v>470</v>
      </c>
      <c r="R41" s="132" t="s">
        <v>246</v>
      </c>
      <c r="S41" s="132" t="s">
        <v>10</v>
      </c>
      <c r="T41" s="134">
        <v>42466</v>
      </c>
      <c r="U41" s="172">
        <f t="shared" si="8"/>
        <v>2016</v>
      </c>
      <c r="V41" s="172">
        <f t="shared" si="9"/>
        <v>4</v>
      </c>
      <c r="W41" s="44" t="s">
        <v>265</v>
      </c>
      <c r="X41" t="s">
        <v>894</v>
      </c>
      <c r="Y41">
        <v>1</v>
      </c>
      <c r="AA41" s="13">
        <f t="shared" si="7"/>
        <v>559999</v>
      </c>
      <c r="AE41" s="102"/>
      <c r="AF41" s="103"/>
      <c r="AG41" s="103"/>
      <c r="AH41" s="103"/>
      <c r="AI41" s="104"/>
      <c r="AJ41" s="104"/>
      <c r="AK41" s="105"/>
      <c r="AL41" s="104"/>
      <c r="AM41" s="102"/>
    </row>
    <row r="42" spans="1:39" ht="30" hidden="1" customHeight="1" thickBot="1">
      <c r="A42" s="241"/>
      <c r="B42" s="59"/>
      <c r="C42" s="244"/>
      <c r="D42" s="247"/>
      <c r="E42" s="52" t="s">
        <v>688</v>
      </c>
      <c r="F42" s="59"/>
      <c r="G42" s="52" t="s">
        <v>688</v>
      </c>
      <c r="M42" s="131">
        <v>560000</v>
      </c>
      <c r="N42" s="223">
        <v>220517</v>
      </c>
      <c r="O42" s="132" t="s">
        <v>244</v>
      </c>
      <c r="P42" s="132" t="s">
        <v>245</v>
      </c>
      <c r="Q42" s="133">
        <v>364</v>
      </c>
      <c r="R42" s="132" t="s">
        <v>246</v>
      </c>
      <c r="S42" s="132" t="s">
        <v>10</v>
      </c>
      <c r="T42" s="134">
        <v>41707</v>
      </c>
      <c r="U42" s="172">
        <f t="shared" si="8"/>
        <v>2014</v>
      </c>
      <c r="V42" s="172">
        <f t="shared" si="9"/>
        <v>3</v>
      </c>
      <c r="W42" s="44" t="s">
        <v>273</v>
      </c>
      <c r="X42" t="s">
        <v>894</v>
      </c>
      <c r="Y42">
        <v>1</v>
      </c>
      <c r="AA42" s="13">
        <f t="shared" si="7"/>
        <v>560000</v>
      </c>
      <c r="AE42" s="102"/>
      <c r="AF42" s="103"/>
      <c r="AG42" s="103"/>
      <c r="AH42" s="103"/>
      <c r="AI42" s="104"/>
      <c r="AJ42" s="104"/>
      <c r="AK42" s="105"/>
      <c r="AL42" s="104"/>
      <c r="AM42" s="102"/>
    </row>
    <row r="43" spans="1:39" ht="30" hidden="1" customHeight="1" thickBot="1">
      <c r="A43" s="241"/>
      <c r="B43" s="59"/>
      <c r="C43" s="244"/>
      <c r="D43" s="247"/>
      <c r="E43" s="52" t="s">
        <v>687</v>
      </c>
      <c r="F43" s="59"/>
      <c r="G43" s="52" t="s">
        <v>722</v>
      </c>
      <c r="M43" s="131">
        <v>561000</v>
      </c>
      <c r="N43" s="223">
        <v>220517</v>
      </c>
      <c r="O43" s="132" t="s">
        <v>244</v>
      </c>
      <c r="P43" s="132" t="s">
        <v>245</v>
      </c>
      <c r="Q43" s="133">
        <v>349</v>
      </c>
      <c r="R43" s="132" t="s">
        <v>246</v>
      </c>
      <c r="S43" s="132" t="s">
        <v>10</v>
      </c>
      <c r="T43" s="134">
        <v>41707</v>
      </c>
      <c r="U43" s="172">
        <f t="shared" si="8"/>
        <v>2014</v>
      </c>
      <c r="V43" s="172">
        <f t="shared" si="9"/>
        <v>3</v>
      </c>
      <c r="W43" s="44" t="s">
        <v>273</v>
      </c>
      <c r="X43" t="s">
        <v>894</v>
      </c>
      <c r="Y43">
        <v>1</v>
      </c>
      <c r="AA43" s="13">
        <f t="shared" si="7"/>
        <v>561000</v>
      </c>
      <c r="AE43" s="102"/>
      <c r="AF43" s="103"/>
      <c r="AG43" s="103"/>
      <c r="AH43" s="103"/>
      <c r="AI43" s="104"/>
      <c r="AJ43" s="104"/>
      <c r="AK43" s="105"/>
      <c r="AL43" s="104"/>
      <c r="AM43" s="102"/>
    </row>
    <row r="44" spans="1:39" ht="30.75" hidden="1" customHeight="1" thickBot="1">
      <c r="A44" s="242"/>
      <c r="B44" s="54"/>
      <c r="C44" s="245"/>
      <c r="D44" s="248"/>
      <c r="E44" s="60" t="s">
        <v>686</v>
      </c>
      <c r="F44" s="54"/>
      <c r="G44" s="60" t="s">
        <v>723</v>
      </c>
      <c r="M44" s="131">
        <v>562105</v>
      </c>
      <c r="N44" s="223">
        <v>234065</v>
      </c>
      <c r="O44" s="132" t="s">
        <v>244</v>
      </c>
      <c r="P44" s="132" t="s">
        <v>245</v>
      </c>
      <c r="Q44" s="133">
        <v>412</v>
      </c>
      <c r="R44" s="132" t="s">
        <v>246</v>
      </c>
      <c r="S44" s="132" t="s">
        <v>10</v>
      </c>
      <c r="T44" s="134">
        <v>41707</v>
      </c>
      <c r="U44" s="172">
        <f t="shared" si="8"/>
        <v>2014</v>
      </c>
      <c r="V44" s="172">
        <f t="shared" si="9"/>
        <v>3</v>
      </c>
      <c r="W44" s="44" t="s">
        <v>273</v>
      </c>
      <c r="X44" t="s">
        <v>894</v>
      </c>
      <c r="Y44">
        <v>1</v>
      </c>
      <c r="AA44" s="13">
        <f t="shared" si="7"/>
        <v>562105</v>
      </c>
      <c r="AE44" s="102"/>
      <c r="AF44" s="103"/>
      <c r="AG44" s="103"/>
      <c r="AH44" s="103"/>
      <c r="AI44" s="104"/>
      <c r="AJ44" s="104"/>
      <c r="AK44" s="105"/>
      <c r="AL44" s="104"/>
      <c r="AM44" s="102"/>
    </row>
    <row r="45" spans="1:39" ht="45" customHeight="1" thickBot="1">
      <c r="A45" s="240" t="s">
        <v>19</v>
      </c>
      <c r="B45" s="48" t="s">
        <v>726</v>
      </c>
      <c r="C45" s="243" t="s">
        <v>231</v>
      </c>
      <c r="D45" s="249">
        <v>12288</v>
      </c>
      <c r="E45" s="83"/>
      <c r="F45" s="252" t="s">
        <v>737</v>
      </c>
      <c r="G45" s="83"/>
      <c r="M45" s="131">
        <v>565888</v>
      </c>
      <c r="N45" s="223">
        <v>339939</v>
      </c>
      <c r="O45" s="132" t="s">
        <v>244</v>
      </c>
      <c r="P45" s="132" t="s">
        <v>245</v>
      </c>
      <c r="Q45" s="133">
        <v>546</v>
      </c>
      <c r="R45" s="132" t="s">
        <v>246</v>
      </c>
      <c r="S45" s="132" t="s">
        <v>10</v>
      </c>
      <c r="T45" s="134">
        <v>42466</v>
      </c>
      <c r="U45" s="172">
        <f t="shared" si="8"/>
        <v>2016</v>
      </c>
      <c r="V45" s="172">
        <f t="shared" si="9"/>
        <v>4</v>
      </c>
      <c r="W45" s="44" t="s">
        <v>265</v>
      </c>
      <c r="X45" t="s">
        <v>894</v>
      </c>
      <c r="Y45">
        <v>1</v>
      </c>
      <c r="AA45" s="13">
        <f t="shared" si="7"/>
        <v>565888</v>
      </c>
      <c r="AE45" s="102"/>
      <c r="AF45" s="103"/>
      <c r="AG45" s="103"/>
      <c r="AH45" s="103"/>
      <c r="AI45" s="104"/>
      <c r="AJ45" s="104"/>
      <c r="AK45" s="105"/>
      <c r="AL45" s="104"/>
      <c r="AM45" s="102"/>
    </row>
    <row r="46" spans="1:39" ht="45" hidden="1" customHeight="1" thickBot="1">
      <c r="A46" s="241"/>
      <c r="B46" s="61" t="s">
        <v>727</v>
      </c>
      <c r="C46" s="244"/>
      <c r="D46" s="250"/>
      <c r="E46" s="84"/>
      <c r="F46" s="253"/>
      <c r="G46" s="84"/>
      <c r="M46" s="131">
        <v>580000</v>
      </c>
      <c r="N46" s="222">
        <v>175653</v>
      </c>
      <c r="O46" s="132" t="s">
        <v>244</v>
      </c>
      <c r="P46" s="132" t="s">
        <v>245</v>
      </c>
      <c r="Q46" s="133">
        <v>120</v>
      </c>
      <c r="R46" s="132" t="s">
        <v>246</v>
      </c>
      <c r="S46" s="132" t="s">
        <v>10</v>
      </c>
      <c r="T46" s="134">
        <v>41707</v>
      </c>
      <c r="U46" s="172">
        <f t="shared" si="8"/>
        <v>2014</v>
      </c>
      <c r="V46" s="172">
        <f t="shared" si="9"/>
        <v>3</v>
      </c>
      <c r="W46" s="44" t="s">
        <v>273</v>
      </c>
      <c r="X46" t="s">
        <v>894</v>
      </c>
      <c r="Y46">
        <v>1</v>
      </c>
      <c r="AA46" s="13">
        <f t="shared" si="7"/>
        <v>580000</v>
      </c>
      <c r="AE46" s="102"/>
      <c r="AF46" s="103"/>
      <c r="AG46" s="103"/>
      <c r="AH46" s="103"/>
      <c r="AI46" s="104"/>
      <c r="AJ46" s="104"/>
      <c r="AK46" s="105"/>
      <c r="AL46" s="104"/>
      <c r="AM46" s="102"/>
    </row>
    <row r="47" spans="1:39" ht="45" hidden="1" customHeight="1" thickBot="1">
      <c r="A47" s="241"/>
      <c r="B47" s="49" t="s">
        <v>728</v>
      </c>
      <c r="C47" s="244"/>
      <c r="D47" s="250"/>
      <c r="E47" s="84"/>
      <c r="F47" s="253"/>
      <c r="G47" s="84"/>
      <c r="M47" s="131">
        <v>582187</v>
      </c>
      <c r="N47" s="223">
        <v>220517</v>
      </c>
      <c r="O47" s="132" t="s">
        <v>244</v>
      </c>
      <c r="P47" s="132" t="s">
        <v>245</v>
      </c>
      <c r="Q47" s="133">
        <v>344</v>
      </c>
      <c r="R47" s="132" t="s">
        <v>246</v>
      </c>
      <c r="S47" s="132" t="s">
        <v>10</v>
      </c>
      <c r="T47" s="134">
        <v>41707</v>
      </c>
      <c r="U47" s="172">
        <f t="shared" si="8"/>
        <v>2014</v>
      </c>
      <c r="V47" s="172">
        <f t="shared" si="9"/>
        <v>3</v>
      </c>
      <c r="W47" s="44" t="s">
        <v>273</v>
      </c>
      <c r="X47" t="s">
        <v>894</v>
      </c>
      <c r="Y47">
        <v>1</v>
      </c>
      <c r="AA47" s="13">
        <f t="shared" si="7"/>
        <v>582187</v>
      </c>
      <c r="AE47" s="102"/>
      <c r="AF47" s="103"/>
      <c r="AG47" s="103"/>
      <c r="AH47" s="103"/>
      <c r="AI47" s="104"/>
      <c r="AJ47" s="104"/>
      <c r="AK47" s="105"/>
      <c r="AL47" s="104"/>
      <c r="AM47" s="102"/>
    </row>
    <row r="48" spans="1:39" ht="45" customHeight="1" thickBot="1">
      <c r="A48" s="241"/>
      <c r="B48" s="49" t="s">
        <v>729</v>
      </c>
      <c r="C48" s="244"/>
      <c r="D48" s="250"/>
      <c r="E48" s="84"/>
      <c r="F48" s="253"/>
      <c r="G48" s="84"/>
      <c r="M48" s="131">
        <v>598547</v>
      </c>
      <c r="N48" s="223">
        <v>337633</v>
      </c>
      <c r="O48" s="132" t="s">
        <v>244</v>
      </c>
      <c r="P48" s="132" t="s">
        <v>245</v>
      </c>
      <c r="Q48" s="133">
        <v>521</v>
      </c>
      <c r="R48" s="132" t="s">
        <v>246</v>
      </c>
      <c r="S48" s="132" t="s">
        <v>10</v>
      </c>
      <c r="T48" s="134">
        <v>42466</v>
      </c>
      <c r="U48" s="172">
        <f t="shared" si="8"/>
        <v>2016</v>
      </c>
      <c r="V48" s="172">
        <f t="shared" si="9"/>
        <v>4</v>
      </c>
      <c r="W48" s="44" t="s">
        <v>265</v>
      </c>
      <c r="X48" t="s">
        <v>894</v>
      </c>
      <c r="Y48">
        <v>1</v>
      </c>
      <c r="AA48" s="13">
        <f t="shared" si="7"/>
        <v>598547</v>
      </c>
      <c r="AE48" s="102"/>
      <c r="AF48" s="103"/>
      <c r="AG48" s="103"/>
      <c r="AH48" s="103"/>
      <c r="AI48" s="104"/>
      <c r="AJ48" s="104"/>
      <c r="AK48" s="105"/>
      <c r="AL48" s="104"/>
      <c r="AM48" s="102"/>
    </row>
    <row r="49" spans="1:39" ht="45" customHeight="1" thickBot="1">
      <c r="A49" s="241"/>
      <c r="B49" s="49" t="s">
        <v>730</v>
      </c>
      <c r="C49" s="244"/>
      <c r="D49" s="250"/>
      <c r="E49" s="84"/>
      <c r="F49" s="253"/>
      <c r="G49" s="84"/>
      <c r="M49" s="131">
        <v>600000</v>
      </c>
      <c r="N49" s="223">
        <v>336480</v>
      </c>
      <c r="O49" s="132" t="s">
        <v>244</v>
      </c>
      <c r="P49" s="132" t="s">
        <v>245</v>
      </c>
      <c r="Q49" s="133">
        <v>472</v>
      </c>
      <c r="R49" s="132" t="s">
        <v>246</v>
      </c>
      <c r="S49" s="132" t="s">
        <v>10</v>
      </c>
      <c r="T49" s="134">
        <v>42466</v>
      </c>
      <c r="U49" s="172">
        <f t="shared" si="8"/>
        <v>2016</v>
      </c>
      <c r="V49" s="172">
        <f t="shared" si="9"/>
        <v>4</v>
      </c>
      <c r="W49" s="44" t="s">
        <v>265</v>
      </c>
      <c r="X49" t="s">
        <v>894</v>
      </c>
      <c r="Y49">
        <v>1</v>
      </c>
      <c r="AA49" s="13">
        <f t="shared" si="7"/>
        <v>600000</v>
      </c>
      <c r="AE49" s="102"/>
      <c r="AF49" s="103"/>
      <c r="AG49" s="103"/>
      <c r="AH49" s="103"/>
      <c r="AI49" s="104"/>
      <c r="AJ49" s="104"/>
      <c r="AK49" s="105"/>
      <c r="AL49" s="104"/>
      <c r="AM49" s="102"/>
    </row>
    <row r="50" spans="1:39" ht="45" customHeight="1" thickBot="1">
      <c r="A50" s="241"/>
      <c r="B50" s="49" t="s">
        <v>731</v>
      </c>
      <c r="C50" s="244"/>
      <c r="D50" s="250"/>
      <c r="E50" s="84"/>
      <c r="F50" s="253"/>
      <c r="G50" s="84"/>
      <c r="M50" s="131">
        <v>600000</v>
      </c>
      <c r="N50" s="223">
        <v>341381</v>
      </c>
      <c r="O50" s="132" t="s">
        <v>244</v>
      </c>
      <c r="P50" s="132" t="s">
        <v>245</v>
      </c>
      <c r="Q50" s="133">
        <v>520</v>
      </c>
      <c r="R50" s="132" t="s">
        <v>246</v>
      </c>
      <c r="S50" s="132" t="s">
        <v>10</v>
      </c>
      <c r="T50" s="134">
        <v>42466</v>
      </c>
      <c r="U50" s="172">
        <f t="shared" si="8"/>
        <v>2016</v>
      </c>
      <c r="V50" s="172">
        <f t="shared" si="9"/>
        <v>4</v>
      </c>
      <c r="W50" s="44" t="s">
        <v>265</v>
      </c>
      <c r="X50" t="s">
        <v>894</v>
      </c>
      <c r="Y50">
        <v>1</v>
      </c>
      <c r="AA50" s="13">
        <f t="shared" si="7"/>
        <v>600000</v>
      </c>
      <c r="AE50" s="102"/>
      <c r="AF50" s="103"/>
      <c r="AG50" s="103"/>
      <c r="AH50" s="103"/>
      <c r="AI50" s="104"/>
      <c r="AJ50" s="104"/>
      <c r="AK50" s="105"/>
      <c r="AL50" s="104"/>
      <c r="AM50" s="102"/>
    </row>
    <row r="51" spans="1:39" ht="45" hidden="1" customHeight="1" thickBot="1">
      <c r="A51" s="241"/>
      <c r="B51" s="49" t="s">
        <v>732</v>
      </c>
      <c r="C51" s="244"/>
      <c r="D51" s="250"/>
      <c r="E51" s="84"/>
      <c r="F51" s="253"/>
      <c r="G51" s="84"/>
      <c r="M51" s="131">
        <v>602500</v>
      </c>
      <c r="N51" s="223">
        <v>227846</v>
      </c>
      <c r="O51" s="132" t="s">
        <v>244</v>
      </c>
      <c r="P51" s="132" t="s">
        <v>245</v>
      </c>
      <c r="Q51" s="133">
        <v>377</v>
      </c>
      <c r="R51" s="132" t="s">
        <v>246</v>
      </c>
      <c r="S51" s="132" t="s">
        <v>10</v>
      </c>
      <c r="T51" s="134">
        <v>41707</v>
      </c>
      <c r="U51" s="172">
        <f t="shared" si="8"/>
        <v>2014</v>
      </c>
      <c r="V51" s="172">
        <f t="shared" si="9"/>
        <v>3</v>
      </c>
      <c r="W51" s="44" t="s">
        <v>273</v>
      </c>
      <c r="X51" t="s">
        <v>894</v>
      </c>
      <c r="Y51">
        <v>1</v>
      </c>
      <c r="AA51" s="13">
        <f t="shared" si="7"/>
        <v>602500</v>
      </c>
      <c r="AE51" s="102"/>
      <c r="AF51" s="103"/>
      <c r="AG51" s="103"/>
      <c r="AH51" s="103"/>
      <c r="AI51" s="104"/>
      <c r="AJ51" s="104"/>
      <c r="AK51" s="105"/>
      <c r="AL51" s="104"/>
      <c r="AM51" s="102"/>
    </row>
    <row r="52" spans="1:39" ht="45" hidden="1" customHeight="1" thickBot="1">
      <c r="A52" s="241"/>
      <c r="B52" s="49" t="s">
        <v>733</v>
      </c>
      <c r="C52" s="244"/>
      <c r="D52" s="250"/>
      <c r="E52" s="84"/>
      <c r="F52" s="253"/>
      <c r="G52" s="84"/>
      <c r="M52" s="131">
        <v>602500</v>
      </c>
      <c r="N52" s="223">
        <v>229401</v>
      </c>
      <c r="O52" s="132" t="s">
        <v>244</v>
      </c>
      <c r="P52" s="132" t="s">
        <v>245</v>
      </c>
      <c r="Q52" s="133">
        <v>337</v>
      </c>
      <c r="R52" s="132" t="s">
        <v>246</v>
      </c>
      <c r="S52" s="132" t="s">
        <v>10</v>
      </c>
      <c r="T52" s="134">
        <v>41707</v>
      </c>
      <c r="U52" s="172">
        <f t="shared" si="8"/>
        <v>2014</v>
      </c>
      <c r="V52" s="172">
        <f t="shared" si="9"/>
        <v>3</v>
      </c>
      <c r="W52" s="44" t="s">
        <v>273</v>
      </c>
      <c r="X52" t="s">
        <v>894</v>
      </c>
      <c r="Y52">
        <v>1</v>
      </c>
      <c r="AA52" s="13">
        <f t="shared" si="7"/>
        <v>602500</v>
      </c>
      <c r="AE52" s="102"/>
      <c r="AF52" s="103"/>
      <c r="AG52" s="103"/>
      <c r="AH52" s="103"/>
      <c r="AI52" s="104"/>
      <c r="AJ52" s="104"/>
      <c r="AK52" s="105"/>
      <c r="AL52" s="104"/>
      <c r="AM52" s="102"/>
    </row>
    <row r="53" spans="1:39" ht="45" hidden="1" customHeight="1" thickBot="1">
      <c r="A53" s="241"/>
      <c r="B53" s="49" t="s">
        <v>734</v>
      </c>
      <c r="C53" s="244"/>
      <c r="D53" s="250"/>
      <c r="E53" s="84"/>
      <c r="F53" s="253"/>
      <c r="G53" s="84"/>
      <c r="M53" s="131">
        <v>602500</v>
      </c>
      <c r="N53" s="223">
        <v>229401</v>
      </c>
      <c r="O53" s="132" t="s">
        <v>244</v>
      </c>
      <c r="P53" s="132" t="s">
        <v>245</v>
      </c>
      <c r="Q53" s="133">
        <v>370</v>
      </c>
      <c r="R53" s="132" t="s">
        <v>246</v>
      </c>
      <c r="S53" s="132" t="s">
        <v>10</v>
      </c>
      <c r="T53" s="134">
        <v>41707</v>
      </c>
      <c r="U53" s="172">
        <f t="shared" si="8"/>
        <v>2014</v>
      </c>
      <c r="V53" s="172">
        <f t="shared" si="9"/>
        <v>3</v>
      </c>
      <c r="W53" s="44" t="s">
        <v>273</v>
      </c>
      <c r="X53" t="s">
        <v>894</v>
      </c>
      <c r="Y53">
        <v>1</v>
      </c>
      <c r="AA53" s="13">
        <f t="shared" si="7"/>
        <v>602500</v>
      </c>
      <c r="AE53" s="102"/>
      <c r="AF53" s="103"/>
      <c r="AG53" s="103"/>
      <c r="AH53" s="103"/>
      <c r="AI53" s="104"/>
      <c r="AJ53" s="104"/>
      <c r="AK53" s="105"/>
      <c r="AL53" s="104"/>
      <c r="AM53" s="102"/>
    </row>
    <row r="54" spans="1:39" ht="45" hidden="1" customHeight="1" thickBot="1">
      <c r="A54" s="241"/>
      <c r="B54" s="49" t="s">
        <v>735</v>
      </c>
      <c r="C54" s="244"/>
      <c r="D54" s="250"/>
      <c r="E54" s="84"/>
      <c r="F54" s="253"/>
      <c r="G54" s="84"/>
      <c r="M54" s="131">
        <v>606702</v>
      </c>
      <c r="N54" s="223">
        <v>188091</v>
      </c>
      <c r="O54" s="132" t="s">
        <v>244</v>
      </c>
      <c r="P54" s="132" t="s">
        <v>245</v>
      </c>
      <c r="Q54" s="133">
        <v>133</v>
      </c>
      <c r="R54" s="132" t="s">
        <v>246</v>
      </c>
      <c r="S54" s="132" t="s">
        <v>10</v>
      </c>
      <c r="T54" s="134">
        <v>41707</v>
      </c>
      <c r="U54" s="172">
        <f t="shared" si="8"/>
        <v>2014</v>
      </c>
      <c r="V54" s="172">
        <f t="shared" si="9"/>
        <v>3</v>
      </c>
      <c r="W54" s="44" t="s">
        <v>273</v>
      </c>
      <c r="X54" t="s">
        <v>894</v>
      </c>
      <c r="Y54">
        <v>1</v>
      </c>
      <c r="AA54" s="13">
        <f t="shared" si="7"/>
        <v>606702</v>
      </c>
      <c r="AE54" s="102"/>
      <c r="AF54" s="103"/>
      <c r="AG54" s="103"/>
      <c r="AH54" s="103"/>
      <c r="AI54" s="104"/>
      <c r="AJ54" s="104"/>
      <c r="AK54" s="105"/>
      <c r="AL54" s="104"/>
      <c r="AM54" s="102"/>
    </row>
    <row r="55" spans="1:39" ht="45.75" customHeight="1" thickBot="1">
      <c r="A55" s="242"/>
      <c r="B55" s="50" t="s">
        <v>736</v>
      </c>
      <c r="C55" s="245"/>
      <c r="D55" s="251"/>
      <c r="E55" s="85"/>
      <c r="F55" s="254"/>
      <c r="G55" s="85"/>
      <c r="M55" s="131">
        <v>610000</v>
      </c>
      <c r="N55" s="223">
        <v>337633</v>
      </c>
      <c r="O55" s="132" t="s">
        <v>244</v>
      </c>
      <c r="P55" s="132" t="s">
        <v>245</v>
      </c>
      <c r="Q55" s="133">
        <v>524</v>
      </c>
      <c r="R55" s="132" t="s">
        <v>246</v>
      </c>
      <c r="S55" s="132" t="s">
        <v>10</v>
      </c>
      <c r="T55" s="134">
        <v>42466</v>
      </c>
      <c r="U55" s="172">
        <f t="shared" si="8"/>
        <v>2016</v>
      </c>
      <c r="V55" s="172">
        <f t="shared" si="9"/>
        <v>4</v>
      </c>
      <c r="W55" s="44" t="s">
        <v>265</v>
      </c>
      <c r="X55" t="s">
        <v>894</v>
      </c>
      <c r="Y55">
        <v>1</v>
      </c>
      <c r="AA55" s="13">
        <f t="shared" si="7"/>
        <v>610000</v>
      </c>
      <c r="AE55" s="102"/>
      <c r="AM55" s="102"/>
    </row>
    <row r="56" spans="1:39" ht="45" customHeight="1" thickBot="1">
      <c r="A56" s="240" t="s">
        <v>738</v>
      </c>
      <c r="B56" s="51" t="s">
        <v>739</v>
      </c>
      <c r="C56" s="243" t="s">
        <v>230</v>
      </c>
      <c r="D56" s="249">
        <v>7443</v>
      </c>
      <c r="E56" s="80" t="s">
        <v>329</v>
      </c>
      <c r="F56" s="255" t="s">
        <v>741</v>
      </c>
      <c r="G56" s="80" t="s">
        <v>329</v>
      </c>
      <c r="M56" s="131">
        <v>610500</v>
      </c>
      <c r="N56" s="223">
        <v>340228</v>
      </c>
      <c r="O56" s="132" t="s">
        <v>244</v>
      </c>
      <c r="P56" s="132" t="s">
        <v>245</v>
      </c>
      <c r="Q56" s="133">
        <v>544</v>
      </c>
      <c r="R56" s="132" t="s">
        <v>246</v>
      </c>
      <c r="S56" s="132" t="s">
        <v>10</v>
      </c>
      <c r="T56" s="134">
        <v>42466</v>
      </c>
      <c r="U56" s="172">
        <f t="shared" si="8"/>
        <v>2016</v>
      </c>
      <c r="V56" s="172">
        <f t="shared" si="9"/>
        <v>4</v>
      </c>
      <c r="W56" s="44" t="s">
        <v>265</v>
      </c>
      <c r="X56" t="s">
        <v>894</v>
      </c>
      <c r="Y56">
        <v>1</v>
      </c>
      <c r="AA56" s="13">
        <f t="shared" si="7"/>
        <v>610500</v>
      </c>
      <c r="AE56" s="102"/>
      <c r="AM56" s="102"/>
    </row>
    <row r="57" spans="1:39" ht="45" customHeight="1" thickBot="1">
      <c r="A57" s="241"/>
      <c r="B57" s="53" t="s">
        <v>105</v>
      </c>
      <c r="C57" s="244"/>
      <c r="D57" s="250"/>
      <c r="E57" s="81"/>
      <c r="F57" s="256"/>
      <c r="G57" s="81"/>
      <c r="M57" s="131">
        <v>613565</v>
      </c>
      <c r="N57" s="223">
        <v>337921</v>
      </c>
      <c r="O57" s="132" t="s">
        <v>244</v>
      </c>
      <c r="P57" s="132" t="s">
        <v>245</v>
      </c>
      <c r="Q57" s="133">
        <v>473</v>
      </c>
      <c r="R57" s="132" t="s">
        <v>246</v>
      </c>
      <c r="S57" s="132" t="s">
        <v>10</v>
      </c>
      <c r="T57" s="134">
        <v>42466</v>
      </c>
      <c r="U57" s="172">
        <f t="shared" si="8"/>
        <v>2016</v>
      </c>
      <c r="V57" s="172">
        <f t="shared" si="9"/>
        <v>4</v>
      </c>
      <c r="W57" s="44" t="s">
        <v>265</v>
      </c>
      <c r="X57" t="s">
        <v>894</v>
      </c>
      <c r="Y57">
        <v>1</v>
      </c>
      <c r="AA57" s="13">
        <f t="shared" si="7"/>
        <v>613565</v>
      </c>
      <c r="AE57" s="102"/>
      <c r="AM57" s="102"/>
    </row>
    <row r="58" spans="1:39" ht="45.75" customHeight="1" thickBot="1">
      <c r="A58" s="242"/>
      <c r="B58" s="57" t="s">
        <v>740</v>
      </c>
      <c r="C58" s="245"/>
      <c r="D58" s="251"/>
      <c r="E58" s="82"/>
      <c r="F58" s="257"/>
      <c r="G58" s="82"/>
      <c r="M58" s="131">
        <v>614000</v>
      </c>
      <c r="N58" s="223">
        <v>339939</v>
      </c>
      <c r="O58" s="132" t="s">
        <v>244</v>
      </c>
      <c r="P58" s="132" t="s">
        <v>245</v>
      </c>
      <c r="Q58" s="133">
        <v>526</v>
      </c>
      <c r="R58" s="132" t="s">
        <v>246</v>
      </c>
      <c r="S58" s="132" t="s">
        <v>10</v>
      </c>
      <c r="T58" s="134">
        <v>42466</v>
      </c>
      <c r="U58" s="172">
        <f t="shared" si="8"/>
        <v>2016</v>
      </c>
      <c r="V58" s="172">
        <f t="shared" si="9"/>
        <v>4</v>
      </c>
      <c r="W58" s="44" t="s">
        <v>265</v>
      </c>
      <c r="X58" t="s">
        <v>894</v>
      </c>
      <c r="Y58">
        <v>1</v>
      </c>
      <c r="AA58" s="13">
        <f t="shared" si="7"/>
        <v>614000</v>
      </c>
      <c r="AE58" s="102"/>
      <c r="AM58" s="102"/>
    </row>
    <row r="59" spans="1:39" ht="45" customHeight="1" thickBot="1">
      <c r="A59" s="240" t="s">
        <v>10</v>
      </c>
      <c r="B59" s="48" t="s">
        <v>742</v>
      </c>
      <c r="C59" s="243" t="s">
        <v>228</v>
      </c>
      <c r="D59" s="243" t="s">
        <v>749</v>
      </c>
      <c r="E59" s="105" t="s">
        <v>255</v>
      </c>
      <c r="F59" s="255" t="s">
        <v>56</v>
      </c>
      <c r="G59" s="83"/>
      <c r="M59" s="131">
        <v>616122</v>
      </c>
      <c r="N59" s="223">
        <v>340516</v>
      </c>
      <c r="O59" s="132" t="s">
        <v>244</v>
      </c>
      <c r="P59" s="132" t="s">
        <v>245</v>
      </c>
      <c r="Q59" s="133">
        <v>482</v>
      </c>
      <c r="R59" s="132" t="s">
        <v>246</v>
      </c>
      <c r="S59" s="132" t="s">
        <v>10</v>
      </c>
      <c r="T59" s="134">
        <v>42466</v>
      </c>
      <c r="U59" s="172">
        <f t="shared" si="8"/>
        <v>2016</v>
      </c>
      <c r="V59" s="172">
        <f t="shared" si="9"/>
        <v>4</v>
      </c>
      <c r="W59" s="44" t="s">
        <v>265</v>
      </c>
      <c r="X59" t="s">
        <v>894</v>
      </c>
      <c r="Y59">
        <v>1</v>
      </c>
      <c r="AA59" s="13">
        <f t="shared" si="7"/>
        <v>616122</v>
      </c>
      <c r="AE59" s="102"/>
      <c r="AM59" s="102"/>
    </row>
    <row r="60" spans="1:39" ht="45" customHeight="1" thickBot="1">
      <c r="A60" s="241"/>
      <c r="B60" s="61" t="s">
        <v>743</v>
      </c>
      <c r="C60" s="244"/>
      <c r="D60" s="244"/>
      <c r="E60" s="105" t="s">
        <v>250</v>
      </c>
      <c r="F60" s="256"/>
      <c r="G60" s="84"/>
      <c r="M60" s="131">
        <v>617000</v>
      </c>
      <c r="N60" s="223">
        <v>337633</v>
      </c>
      <c r="O60" s="132" t="s">
        <v>244</v>
      </c>
      <c r="P60" s="132" t="s">
        <v>245</v>
      </c>
      <c r="Q60" s="133">
        <v>522</v>
      </c>
      <c r="R60" s="132" t="s">
        <v>246</v>
      </c>
      <c r="S60" s="132" t="s">
        <v>10</v>
      </c>
      <c r="T60" s="134">
        <v>42466</v>
      </c>
      <c r="U60" s="172">
        <f t="shared" si="8"/>
        <v>2016</v>
      </c>
      <c r="V60" s="172">
        <f t="shared" si="9"/>
        <v>4</v>
      </c>
      <c r="W60" s="44" t="s">
        <v>265</v>
      </c>
      <c r="X60" t="s">
        <v>894</v>
      </c>
      <c r="Y60">
        <v>1</v>
      </c>
      <c r="AA60" s="13">
        <f t="shared" si="7"/>
        <v>617000</v>
      </c>
      <c r="AE60" s="102"/>
      <c r="AM60" s="102"/>
    </row>
    <row r="61" spans="1:39" ht="45" hidden="1" customHeight="1" thickBot="1">
      <c r="A61" s="241"/>
      <c r="B61" s="49" t="s">
        <v>744</v>
      </c>
      <c r="C61" s="244"/>
      <c r="D61" s="244"/>
      <c r="E61" s="84"/>
      <c r="F61" s="256"/>
      <c r="G61" s="84"/>
      <c r="M61" s="131">
        <v>618206</v>
      </c>
      <c r="N61" s="223">
        <v>220517</v>
      </c>
      <c r="O61" s="132" t="s">
        <v>244</v>
      </c>
      <c r="P61" s="132" t="s">
        <v>245</v>
      </c>
      <c r="Q61" s="133">
        <v>399</v>
      </c>
      <c r="R61" s="132" t="s">
        <v>246</v>
      </c>
      <c r="S61" s="132" t="s">
        <v>10</v>
      </c>
      <c r="T61" s="134">
        <v>41707</v>
      </c>
      <c r="U61" s="172">
        <f t="shared" si="8"/>
        <v>2014</v>
      </c>
      <c r="V61" s="172">
        <f t="shared" si="9"/>
        <v>3</v>
      </c>
      <c r="W61" s="44" t="s">
        <v>273</v>
      </c>
      <c r="X61" t="s">
        <v>894</v>
      </c>
      <c r="Y61">
        <v>1</v>
      </c>
      <c r="AA61" s="13">
        <f t="shared" si="7"/>
        <v>618206</v>
      </c>
      <c r="AE61" s="102"/>
      <c r="AM61" s="102"/>
    </row>
    <row r="62" spans="1:39" ht="45" customHeight="1" thickBot="1">
      <c r="A62" s="241"/>
      <c r="B62" s="49" t="s">
        <v>745</v>
      </c>
      <c r="C62" s="244"/>
      <c r="D62" s="244"/>
      <c r="E62" s="84"/>
      <c r="F62" s="256"/>
      <c r="G62" s="84"/>
      <c r="M62" s="131">
        <v>620000</v>
      </c>
      <c r="N62" s="223">
        <v>337633</v>
      </c>
      <c r="O62" s="132" t="s">
        <v>244</v>
      </c>
      <c r="P62" s="132" t="s">
        <v>245</v>
      </c>
      <c r="Q62" s="133">
        <v>508</v>
      </c>
      <c r="R62" s="132" t="s">
        <v>246</v>
      </c>
      <c r="S62" s="132" t="s">
        <v>10</v>
      </c>
      <c r="T62" s="134">
        <v>42466</v>
      </c>
      <c r="U62" s="172">
        <f t="shared" si="8"/>
        <v>2016</v>
      </c>
      <c r="V62" s="172">
        <f t="shared" si="9"/>
        <v>4</v>
      </c>
      <c r="W62" s="44" t="s">
        <v>265</v>
      </c>
      <c r="X62" t="s">
        <v>894</v>
      </c>
      <c r="Y62">
        <v>1</v>
      </c>
      <c r="AA62" s="13">
        <f t="shared" si="7"/>
        <v>620000</v>
      </c>
      <c r="AE62" s="102"/>
      <c r="AM62" s="102"/>
    </row>
    <row r="63" spans="1:39" ht="45" customHeight="1" thickBot="1">
      <c r="A63" s="241"/>
      <c r="B63" s="49" t="s">
        <v>746</v>
      </c>
      <c r="C63" s="244"/>
      <c r="D63" s="244"/>
      <c r="E63" s="84"/>
      <c r="F63" s="256"/>
      <c r="G63" s="84"/>
      <c r="M63" s="131">
        <v>620000</v>
      </c>
      <c r="N63" s="223">
        <v>337633</v>
      </c>
      <c r="O63" s="132" t="s">
        <v>244</v>
      </c>
      <c r="P63" s="132" t="s">
        <v>245</v>
      </c>
      <c r="Q63" s="133">
        <v>530</v>
      </c>
      <c r="R63" s="132" t="s">
        <v>246</v>
      </c>
      <c r="S63" s="132" t="s">
        <v>10</v>
      </c>
      <c r="T63" s="134">
        <v>42466</v>
      </c>
      <c r="U63" s="172">
        <f t="shared" si="8"/>
        <v>2016</v>
      </c>
      <c r="V63" s="172">
        <f t="shared" si="9"/>
        <v>4</v>
      </c>
      <c r="W63" s="44" t="s">
        <v>265</v>
      </c>
      <c r="X63" t="s">
        <v>894</v>
      </c>
      <c r="Y63">
        <v>1</v>
      </c>
      <c r="AA63" s="13">
        <f t="shared" si="7"/>
        <v>620000</v>
      </c>
      <c r="AE63" s="102"/>
      <c r="AM63" s="102"/>
    </row>
    <row r="64" spans="1:39" ht="45" customHeight="1" thickBot="1">
      <c r="A64" s="241"/>
      <c r="B64" s="49" t="s">
        <v>747</v>
      </c>
      <c r="C64" s="244"/>
      <c r="D64" s="244"/>
      <c r="E64" s="84"/>
      <c r="F64" s="256"/>
      <c r="G64" s="84"/>
      <c r="M64" s="131">
        <v>620000</v>
      </c>
      <c r="N64" s="223">
        <v>338210</v>
      </c>
      <c r="O64" s="132" t="s">
        <v>244</v>
      </c>
      <c r="P64" s="132" t="s">
        <v>245</v>
      </c>
      <c r="Q64" s="133">
        <v>468</v>
      </c>
      <c r="R64" s="132" t="s">
        <v>246</v>
      </c>
      <c r="S64" s="132" t="s">
        <v>10</v>
      </c>
      <c r="T64" s="134">
        <v>42466</v>
      </c>
      <c r="U64" s="172">
        <f t="shared" si="8"/>
        <v>2016</v>
      </c>
      <c r="V64" s="172">
        <f t="shared" si="9"/>
        <v>4</v>
      </c>
      <c r="W64" s="44" t="s">
        <v>265</v>
      </c>
      <c r="X64" t="s">
        <v>894</v>
      </c>
      <c r="Y64">
        <v>1</v>
      </c>
      <c r="AA64" s="13">
        <f t="shared" si="7"/>
        <v>620000</v>
      </c>
      <c r="AE64" s="102"/>
      <c r="AM64" s="102"/>
    </row>
    <row r="65" spans="1:39" ht="45.75" customHeight="1" thickBot="1">
      <c r="A65" s="242"/>
      <c r="B65" s="50" t="s">
        <v>748</v>
      </c>
      <c r="C65" s="245"/>
      <c r="D65" s="245"/>
      <c r="E65" s="85"/>
      <c r="F65" s="257"/>
      <c r="G65" s="85"/>
      <c r="M65" s="131">
        <v>622108</v>
      </c>
      <c r="N65" s="223">
        <v>340516</v>
      </c>
      <c r="O65" s="132" t="s">
        <v>244</v>
      </c>
      <c r="P65" s="132" t="s">
        <v>245</v>
      </c>
      <c r="Q65" s="133">
        <v>480</v>
      </c>
      <c r="R65" s="132" t="s">
        <v>246</v>
      </c>
      <c r="S65" s="132" t="s">
        <v>10</v>
      </c>
      <c r="T65" s="134">
        <v>42466</v>
      </c>
      <c r="U65" s="172">
        <f t="shared" si="8"/>
        <v>2016</v>
      </c>
      <c r="V65" s="172">
        <f t="shared" si="9"/>
        <v>4</v>
      </c>
      <c r="W65" s="44" t="s">
        <v>265</v>
      </c>
      <c r="X65" t="s">
        <v>894</v>
      </c>
      <c r="Y65">
        <v>1</v>
      </c>
      <c r="AA65" s="13">
        <f t="shared" si="7"/>
        <v>622108</v>
      </c>
      <c r="AE65" s="102"/>
      <c r="AM65" s="102"/>
    </row>
    <row r="66" spans="1:39" ht="45" customHeight="1" thickBot="1">
      <c r="A66" s="240" t="s">
        <v>11</v>
      </c>
      <c r="B66" s="48" t="s">
        <v>750</v>
      </c>
      <c r="C66" s="243" t="s">
        <v>228</v>
      </c>
      <c r="D66" s="249">
        <v>18140</v>
      </c>
      <c r="E66" s="107" t="s">
        <v>293</v>
      </c>
      <c r="F66" s="252" t="s">
        <v>93</v>
      </c>
      <c r="G66" s="80" t="s">
        <v>757</v>
      </c>
      <c r="M66" s="131">
        <v>622938</v>
      </c>
      <c r="N66" s="223">
        <v>338210</v>
      </c>
      <c r="O66" s="132" t="s">
        <v>244</v>
      </c>
      <c r="P66" s="132" t="s">
        <v>245</v>
      </c>
      <c r="Q66" s="133">
        <v>474</v>
      </c>
      <c r="R66" s="132" t="s">
        <v>246</v>
      </c>
      <c r="S66" s="132" t="s">
        <v>10</v>
      </c>
      <c r="T66" s="134">
        <v>42466</v>
      </c>
      <c r="U66" s="172">
        <f t="shared" si="8"/>
        <v>2016</v>
      </c>
      <c r="V66" s="172">
        <f t="shared" si="9"/>
        <v>4</v>
      </c>
      <c r="W66" s="44" t="s">
        <v>265</v>
      </c>
      <c r="X66" t="s">
        <v>894</v>
      </c>
      <c r="Y66">
        <v>1</v>
      </c>
      <c r="AA66" s="13">
        <f t="shared" si="7"/>
        <v>622938</v>
      </c>
      <c r="AE66" s="102"/>
      <c r="AM66" s="102"/>
    </row>
    <row r="67" spans="1:39" ht="45" customHeight="1" thickBot="1">
      <c r="A67" s="241"/>
      <c r="B67" s="68" t="s">
        <v>750</v>
      </c>
      <c r="C67" s="244"/>
      <c r="D67" s="250"/>
      <c r="E67" s="107" t="s">
        <v>297</v>
      </c>
      <c r="F67" s="253"/>
      <c r="G67" s="81"/>
      <c r="M67" s="131">
        <v>625528</v>
      </c>
      <c r="N67" s="223">
        <v>340516</v>
      </c>
      <c r="O67" s="132" t="s">
        <v>244</v>
      </c>
      <c r="P67" s="132" t="s">
        <v>245</v>
      </c>
      <c r="Q67" s="133">
        <v>481</v>
      </c>
      <c r="R67" s="132" t="s">
        <v>246</v>
      </c>
      <c r="S67" s="132" t="s">
        <v>10</v>
      </c>
      <c r="T67" s="134">
        <v>42466</v>
      </c>
      <c r="U67" s="172">
        <f t="shared" si="8"/>
        <v>2016</v>
      </c>
      <c r="V67" s="172">
        <f t="shared" si="9"/>
        <v>4</v>
      </c>
      <c r="W67" s="44" t="s">
        <v>265</v>
      </c>
      <c r="X67" t="s">
        <v>894</v>
      </c>
      <c r="Y67">
        <v>1</v>
      </c>
      <c r="AA67" s="13">
        <f t="shared" si="7"/>
        <v>625528</v>
      </c>
      <c r="AE67" s="102"/>
      <c r="AM67" s="102"/>
    </row>
    <row r="68" spans="1:39" ht="45" customHeight="1" thickBot="1">
      <c r="A68" s="241"/>
      <c r="B68" s="68" t="s">
        <v>750</v>
      </c>
      <c r="C68" s="244"/>
      <c r="D68" s="250"/>
      <c r="E68" s="107" t="s">
        <v>284</v>
      </c>
      <c r="F68" s="253"/>
      <c r="G68" s="81"/>
      <c r="M68" s="131">
        <v>626227</v>
      </c>
      <c r="N68" s="223">
        <v>339074</v>
      </c>
      <c r="O68" s="132" t="s">
        <v>244</v>
      </c>
      <c r="P68" s="132" t="s">
        <v>245</v>
      </c>
      <c r="Q68" s="133">
        <v>591</v>
      </c>
      <c r="R68" s="132" t="s">
        <v>246</v>
      </c>
      <c r="S68" s="132" t="s">
        <v>10</v>
      </c>
      <c r="T68" s="134">
        <v>42466</v>
      </c>
      <c r="U68" s="172">
        <f t="shared" si="8"/>
        <v>2016</v>
      </c>
      <c r="V68" s="172">
        <f t="shared" si="9"/>
        <v>4</v>
      </c>
      <c r="W68" s="44" t="s">
        <v>265</v>
      </c>
      <c r="X68" t="s">
        <v>894</v>
      </c>
      <c r="Y68">
        <v>1</v>
      </c>
      <c r="AA68" s="13">
        <f t="shared" ref="AA68:AA131" si="12">IF(M68&lt;30000,Y68*100*M68*(1-$L$1)-$L$2*Y68,M68)</f>
        <v>626227</v>
      </c>
      <c r="AE68" s="102"/>
      <c r="AM68" s="102"/>
    </row>
    <row r="69" spans="1:39" ht="45" customHeight="1" thickBot="1">
      <c r="A69" s="241"/>
      <c r="B69" s="69" t="s">
        <v>73</v>
      </c>
      <c r="C69" s="244"/>
      <c r="D69" s="250"/>
      <c r="E69" s="107" t="s">
        <v>278</v>
      </c>
      <c r="F69" s="253"/>
      <c r="G69" s="81"/>
      <c r="M69" s="131">
        <v>629999</v>
      </c>
      <c r="N69" s="223">
        <v>332443</v>
      </c>
      <c r="O69" s="132" t="s">
        <v>244</v>
      </c>
      <c r="P69" s="132" t="s">
        <v>245</v>
      </c>
      <c r="Q69" s="133">
        <v>507</v>
      </c>
      <c r="R69" s="132" t="s">
        <v>246</v>
      </c>
      <c r="S69" s="132" t="s">
        <v>10</v>
      </c>
      <c r="T69" s="134">
        <v>42466</v>
      </c>
      <c r="U69" s="172">
        <f t="shared" si="8"/>
        <v>2016</v>
      </c>
      <c r="V69" s="172">
        <f t="shared" si="9"/>
        <v>4</v>
      </c>
      <c r="W69" s="44" t="s">
        <v>265</v>
      </c>
      <c r="X69" t="s">
        <v>894</v>
      </c>
      <c r="Y69">
        <v>1</v>
      </c>
      <c r="AA69" s="13">
        <f t="shared" si="12"/>
        <v>629999</v>
      </c>
      <c r="AE69" s="102"/>
      <c r="AM69" s="102"/>
    </row>
    <row r="70" spans="1:39" ht="45" customHeight="1" thickBot="1">
      <c r="A70" s="241"/>
      <c r="B70" s="69" t="s">
        <v>73</v>
      </c>
      <c r="C70" s="244"/>
      <c r="D70" s="250"/>
      <c r="E70" s="107" t="s">
        <v>277</v>
      </c>
      <c r="F70" s="253"/>
      <c r="G70" s="81"/>
      <c r="M70" s="131">
        <v>635555</v>
      </c>
      <c r="N70" s="223">
        <v>337633</v>
      </c>
      <c r="O70" s="132" t="s">
        <v>244</v>
      </c>
      <c r="P70" s="132" t="s">
        <v>245</v>
      </c>
      <c r="Q70" s="133">
        <v>509</v>
      </c>
      <c r="R70" s="132" t="s">
        <v>246</v>
      </c>
      <c r="S70" s="132" t="s">
        <v>10</v>
      </c>
      <c r="T70" s="134">
        <v>42466</v>
      </c>
      <c r="U70" s="172">
        <f t="shared" si="8"/>
        <v>2016</v>
      </c>
      <c r="V70" s="172">
        <f t="shared" si="9"/>
        <v>4</v>
      </c>
      <c r="W70" s="44" t="s">
        <v>265</v>
      </c>
      <c r="X70" t="s">
        <v>894</v>
      </c>
      <c r="Y70">
        <v>1</v>
      </c>
      <c r="AA70" s="13">
        <f t="shared" si="12"/>
        <v>635555</v>
      </c>
      <c r="AE70" s="102"/>
      <c r="AM70" s="102"/>
    </row>
    <row r="71" spans="1:39" ht="45" customHeight="1" thickBot="1">
      <c r="A71" s="241"/>
      <c r="B71" s="69" t="s">
        <v>73</v>
      </c>
      <c r="C71" s="244"/>
      <c r="D71" s="250"/>
      <c r="E71" s="107" t="s">
        <v>276</v>
      </c>
      <c r="F71" s="253"/>
      <c r="G71" s="81"/>
      <c r="M71" s="131">
        <v>638642</v>
      </c>
      <c r="N71" s="223">
        <v>339651</v>
      </c>
      <c r="O71" s="132" t="s">
        <v>244</v>
      </c>
      <c r="P71" s="132" t="s">
        <v>245</v>
      </c>
      <c r="Q71" s="133">
        <v>545</v>
      </c>
      <c r="R71" s="132" t="s">
        <v>246</v>
      </c>
      <c r="S71" s="132" t="s">
        <v>10</v>
      </c>
      <c r="T71" s="134">
        <v>42466</v>
      </c>
      <c r="U71" s="172">
        <f t="shared" ref="U71:U134" si="13">YEAR($T71)</f>
        <v>2016</v>
      </c>
      <c r="V71" s="172">
        <f t="shared" ref="V71:V134" si="14">MONTH($T71)</f>
        <v>4</v>
      </c>
      <c r="W71" s="44" t="s">
        <v>265</v>
      </c>
      <c r="X71" t="s">
        <v>894</v>
      </c>
      <c r="Y71">
        <v>1</v>
      </c>
      <c r="AA71" s="13">
        <f t="shared" si="12"/>
        <v>638642</v>
      </c>
      <c r="AE71" s="102"/>
      <c r="AM71" s="102"/>
    </row>
    <row r="72" spans="1:39" ht="45" customHeight="1" thickBot="1">
      <c r="A72" s="241"/>
      <c r="B72" s="69" t="s">
        <v>73</v>
      </c>
      <c r="C72" s="244"/>
      <c r="D72" s="250"/>
      <c r="E72" s="107" t="s">
        <v>275</v>
      </c>
      <c r="F72" s="253"/>
      <c r="G72" s="81"/>
      <c r="M72" s="131">
        <v>643000</v>
      </c>
      <c r="N72" s="223">
        <v>337921</v>
      </c>
      <c r="O72" s="132" t="s">
        <v>244</v>
      </c>
      <c r="P72" s="132" t="s">
        <v>245</v>
      </c>
      <c r="Q72" s="133">
        <v>506</v>
      </c>
      <c r="R72" s="132" t="s">
        <v>246</v>
      </c>
      <c r="S72" s="132" t="s">
        <v>10</v>
      </c>
      <c r="T72" s="134">
        <v>42466</v>
      </c>
      <c r="U72" s="172">
        <f t="shared" si="13"/>
        <v>2016</v>
      </c>
      <c r="V72" s="172">
        <f t="shared" si="14"/>
        <v>4</v>
      </c>
      <c r="W72" s="44" t="s">
        <v>265</v>
      </c>
      <c r="X72" t="s">
        <v>894</v>
      </c>
      <c r="Y72">
        <v>1</v>
      </c>
      <c r="AA72" s="13">
        <f t="shared" si="12"/>
        <v>643000</v>
      </c>
      <c r="AE72" s="102"/>
      <c r="AM72" s="102"/>
    </row>
    <row r="73" spans="1:39" ht="45" customHeight="1" thickBot="1">
      <c r="A73" s="241"/>
      <c r="B73" s="69" t="s">
        <v>75</v>
      </c>
      <c r="C73" s="244"/>
      <c r="D73" s="250"/>
      <c r="E73" s="107" t="s">
        <v>832</v>
      </c>
      <c r="F73" s="253"/>
      <c r="G73" s="81"/>
      <c r="M73" s="131">
        <v>643233</v>
      </c>
      <c r="N73" s="223">
        <v>339939</v>
      </c>
      <c r="O73" s="132" t="s">
        <v>244</v>
      </c>
      <c r="P73" s="132" t="s">
        <v>245</v>
      </c>
      <c r="Q73" s="133">
        <v>588</v>
      </c>
      <c r="R73" s="132" t="s">
        <v>246</v>
      </c>
      <c r="S73" s="132" t="s">
        <v>10</v>
      </c>
      <c r="T73" s="134">
        <v>42466</v>
      </c>
      <c r="U73" s="172">
        <f t="shared" si="13"/>
        <v>2016</v>
      </c>
      <c r="V73" s="172">
        <f t="shared" si="14"/>
        <v>4</v>
      </c>
      <c r="W73" s="44" t="s">
        <v>265</v>
      </c>
      <c r="X73" t="s">
        <v>894</v>
      </c>
      <c r="Y73">
        <v>1</v>
      </c>
      <c r="AA73" s="13">
        <f t="shared" si="12"/>
        <v>643233</v>
      </c>
      <c r="AE73" s="102"/>
      <c r="AM73" s="102"/>
    </row>
    <row r="74" spans="1:39" ht="45.75" customHeight="1" thickBot="1">
      <c r="A74" s="242"/>
      <c r="B74" s="69" t="s">
        <v>75</v>
      </c>
      <c r="C74" s="245"/>
      <c r="D74" s="251"/>
      <c r="E74" s="107" t="s">
        <v>831</v>
      </c>
      <c r="F74" s="254"/>
      <c r="G74" s="82"/>
      <c r="M74" s="131">
        <v>645679</v>
      </c>
      <c r="N74" s="223">
        <v>339074</v>
      </c>
      <c r="O74" s="132" t="s">
        <v>244</v>
      </c>
      <c r="P74" s="132" t="s">
        <v>245</v>
      </c>
      <c r="Q74" s="133">
        <v>467</v>
      </c>
      <c r="R74" s="132" t="s">
        <v>246</v>
      </c>
      <c r="S74" s="132" t="s">
        <v>10</v>
      </c>
      <c r="T74" s="134">
        <v>42466</v>
      </c>
      <c r="U74" s="172">
        <f t="shared" si="13"/>
        <v>2016</v>
      </c>
      <c r="V74" s="172">
        <f t="shared" si="14"/>
        <v>4</v>
      </c>
      <c r="W74" s="44" t="s">
        <v>265</v>
      </c>
      <c r="X74" t="s">
        <v>894</v>
      </c>
      <c r="Y74">
        <v>1</v>
      </c>
      <c r="AA74" s="13">
        <f t="shared" si="12"/>
        <v>645679</v>
      </c>
      <c r="AE74" s="102"/>
      <c r="AM74" s="102"/>
    </row>
    <row r="75" spans="1:39" ht="45" customHeight="1" thickBot="1">
      <c r="B75" s="69" t="s">
        <v>75</v>
      </c>
      <c r="E75" s="107" t="s">
        <v>307</v>
      </c>
      <c r="M75" s="131">
        <v>647512</v>
      </c>
      <c r="N75" s="223">
        <v>337633</v>
      </c>
      <c r="O75" s="132" t="s">
        <v>244</v>
      </c>
      <c r="P75" s="132" t="s">
        <v>245</v>
      </c>
      <c r="Q75" s="133">
        <v>515</v>
      </c>
      <c r="R75" s="132" t="s">
        <v>246</v>
      </c>
      <c r="S75" s="132" t="s">
        <v>10</v>
      </c>
      <c r="T75" s="134">
        <v>42466</v>
      </c>
      <c r="U75" s="172">
        <f t="shared" si="13"/>
        <v>2016</v>
      </c>
      <c r="V75" s="172">
        <f t="shared" si="14"/>
        <v>4</v>
      </c>
      <c r="W75" s="44" t="s">
        <v>265</v>
      </c>
      <c r="X75" t="s">
        <v>894</v>
      </c>
      <c r="Y75">
        <v>1</v>
      </c>
      <c r="AA75" s="13">
        <f t="shared" si="12"/>
        <v>647512</v>
      </c>
      <c r="AE75" s="102"/>
      <c r="AM75" s="102"/>
    </row>
    <row r="76" spans="1:39" ht="45" customHeight="1" thickBot="1">
      <c r="B76" s="69" t="s">
        <v>754</v>
      </c>
      <c r="E76" s="107" t="s">
        <v>822</v>
      </c>
      <c r="M76" s="131">
        <v>651000</v>
      </c>
      <c r="N76" s="223">
        <v>337633</v>
      </c>
      <c r="O76" s="132" t="s">
        <v>244</v>
      </c>
      <c r="P76" s="132" t="s">
        <v>245</v>
      </c>
      <c r="Q76" s="133">
        <v>528</v>
      </c>
      <c r="R76" s="132" t="s">
        <v>246</v>
      </c>
      <c r="S76" s="132" t="s">
        <v>10</v>
      </c>
      <c r="T76" s="134">
        <v>42466</v>
      </c>
      <c r="U76" s="172">
        <f t="shared" si="13"/>
        <v>2016</v>
      </c>
      <c r="V76" s="172">
        <f t="shared" si="14"/>
        <v>4</v>
      </c>
      <c r="W76" s="44" t="s">
        <v>265</v>
      </c>
      <c r="X76" t="s">
        <v>894</v>
      </c>
      <c r="Y76">
        <v>1</v>
      </c>
      <c r="AA76" s="13">
        <f t="shared" si="12"/>
        <v>651000</v>
      </c>
      <c r="AE76" s="102"/>
      <c r="AM76" s="41"/>
    </row>
    <row r="77" spans="1:39" ht="45" customHeight="1" thickBot="1">
      <c r="B77" s="79" t="s">
        <v>756</v>
      </c>
      <c r="E77" s="107" t="s">
        <v>830</v>
      </c>
      <c r="M77" s="131">
        <v>655255</v>
      </c>
      <c r="N77" s="223">
        <v>339363</v>
      </c>
      <c r="O77" s="132" t="s">
        <v>244</v>
      </c>
      <c r="P77" s="132" t="s">
        <v>245</v>
      </c>
      <c r="Q77" s="133">
        <v>547</v>
      </c>
      <c r="R77" s="132" t="s">
        <v>246</v>
      </c>
      <c r="S77" s="132" t="s">
        <v>10</v>
      </c>
      <c r="T77" s="134">
        <v>42466</v>
      </c>
      <c r="U77" s="172">
        <f t="shared" si="13"/>
        <v>2016</v>
      </c>
      <c r="V77" s="172">
        <f t="shared" si="14"/>
        <v>4</v>
      </c>
      <c r="W77" s="44" t="s">
        <v>265</v>
      </c>
      <c r="X77" t="s">
        <v>894</v>
      </c>
      <c r="Y77">
        <v>1</v>
      </c>
      <c r="AA77" s="13">
        <f t="shared" si="12"/>
        <v>655255</v>
      </c>
      <c r="AE77" s="102"/>
      <c r="AF77" s="103"/>
      <c r="AG77" s="103"/>
      <c r="AH77" s="103"/>
      <c r="AI77" s="104"/>
      <c r="AJ77" s="104"/>
      <c r="AK77" s="105"/>
      <c r="AL77" s="104"/>
      <c r="AM77" s="102"/>
    </row>
    <row r="78" spans="1:39" ht="45" customHeight="1" thickBot="1">
      <c r="B78" s="79" t="s">
        <v>756</v>
      </c>
      <c r="E78" s="107" t="s">
        <v>823</v>
      </c>
      <c r="M78" s="131">
        <v>659000</v>
      </c>
      <c r="N78" s="223">
        <v>339939</v>
      </c>
      <c r="O78" s="132" t="s">
        <v>244</v>
      </c>
      <c r="P78" s="132" t="s">
        <v>245</v>
      </c>
      <c r="Q78" s="133">
        <v>542</v>
      </c>
      <c r="R78" s="132" t="s">
        <v>246</v>
      </c>
      <c r="S78" s="132" t="s">
        <v>10</v>
      </c>
      <c r="T78" s="134">
        <v>42466</v>
      </c>
      <c r="U78" s="172">
        <f t="shared" si="13"/>
        <v>2016</v>
      </c>
      <c r="V78" s="172">
        <f t="shared" si="14"/>
        <v>4</v>
      </c>
      <c r="W78" s="44" t="s">
        <v>265</v>
      </c>
      <c r="X78" t="s">
        <v>894</v>
      </c>
      <c r="Y78">
        <v>1</v>
      </c>
      <c r="AA78" s="13">
        <f t="shared" si="12"/>
        <v>659000</v>
      </c>
      <c r="AE78" s="102"/>
      <c r="AF78" s="103"/>
      <c r="AG78" s="103"/>
      <c r="AH78" s="103"/>
      <c r="AI78" s="104"/>
      <c r="AJ78" s="104"/>
      <c r="AK78" s="105"/>
      <c r="AL78" s="104"/>
      <c r="AM78" s="102"/>
    </row>
    <row r="79" spans="1:39" ht="45" customHeight="1" thickBot="1">
      <c r="B79" s="69" t="s">
        <v>753</v>
      </c>
      <c r="M79" s="131">
        <v>659255</v>
      </c>
      <c r="N79" s="223">
        <v>338210</v>
      </c>
      <c r="O79" s="132" t="s">
        <v>244</v>
      </c>
      <c r="P79" s="132" t="s">
        <v>245</v>
      </c>
      <c r="Q79" s="133">
        <v>525</v>
      </c>
      <c r="R79" s="132" t="s">
        <v>246</v>
      </c>
      <c r="S79" s="132" t="s">
        <v>10</v>
      </c>
      <c r="T79" s="134">
        <v>42466</v>
      </c>
      <c r="U79" s="172">
        <f t="shared" si="13"/>
        <v>2016</v>
      </c>
      <c r="V79" s="172">
        <f t="shared" si="14"/>
        <v>4</v>
      </c>
      <c r="W79" s="44" t="s">
        <v>265</v>
      </c>
      <c r="X79" t="s">
        <v>894</v>
      </c>
      <c r="Y79">
        <v>1</v>
      </c>
      <c r="AA79" s="13">
        <f t="shared" si="12"/>
        <v>659255</v>
      </c>
      <c r="AE79" s="102"/>
      <c r="AF79" s="103"/>
      <c r="AG79" s="103"/>
      <c r="AH79" s="103"/>
      <c r="AI79" s="104"/>
      <c r="AJ79" s="104"/>
      <c r="AK79" s="105"/>
      <c r="AL79" s="104"/>
      <c r="AM79" s="102"/>
    </row>
    <row r="80" spans="1:39" ht="45" customHeight="1" thickBot="1">
      <c r="B80" s="69" t="s">
        <v>755</v>
      </c>
      <c r="M80" s="131">
        <v>659999</v>
      </c>
      <c r="N80" s="223">
        <v>340516</v>
      </c>
      <c r="O80" s="132" t="s">
        <v>244</v>
      </c>
      <c r="P80" s="132" t="s">
        <v>245</v>
      </c>
      <c r="Q80" s="133">
        <v>536</v>
      </c>
      <c r="R80" s="132" t="s">
        <v>246</v>
      </c>
      <c r="S80" s="132" t="s">
        <v>10</v>
      </c>
      <c r="T80" s="134">
        <v>42466</v>
      </c>
      <c r="U80" s="172">
        <f t="shared" si="13"/>
        <v>2016</v>
      </c>
      <c r="V80" s="172">
        <f t="shared" si="14"/>
        <v>4</v>
      </c>
      <c r="W80" s="44" t="s">
        <v>265</v>
      </c>
      <c r="X80" t="s">
        <v>894</v>
      </c>
      <c r="Y80">
        <v>1</v>
      </c>
      <c r="AA80" s="13">
        <f t="shared" si="12"/>
        <v>659999</v>
      </c>
      <c r="AE80" s="102"/>
      <c r="AF80" s="103"/>
      <c r="AG80" s="103"/>
      <c r="AH80" s="103"/>
      <c r="AI80" s="104"/>
      <c r="AJ80" s="104"/>
      <c r="AK80" s="105"/>
      <c r="AL80" s="104"/>
      <c r="AM80" s="102"/>
    </row>
    <row r="81" spans="1:39" ht="45" customHeight="1" thickBot="1">
      <c r="B81" s="69" t="s">
        <v>752</v>
      </c>
      <c r="M81" s="131">
        <v>660000</v>
      </c>
      <c r="N81" s="223">
        <v>337633</v>
      </c>
      <c r="O81" s="132" t="s">
        <v>244</v>
      </c>
      <c r="P81" s="132" t="s">
        <v>245</v>
      </c>
      <c r="Q81" s="133">
        <v>523</v>
      </c>
      <c r="R81" s="132" t="s">
        <v>246</v>
      </c>
      <c r="S81" s="132" t="s">
        <v>10</v>
      </c>
      <c r="T81" s="134">
        <v>42466</v>
      </c>
      <c r="U81" s="172">
        <f t="shared" si="13"/>
        <v>2016</v>
      </c>
      <c r="V81" s="172">
        <f t="shared" si="14"/>
        <v>4</v>
      </c>
      <c r="W81" s="44" t="s">
        <v>265</v>
      </c>
      <c r="X81" t="s">
        <v>894</v>
      </c>
      <c r="Y81">
        <v>1</v>
      </c>
      <c r="AA81" s="13">
        <f t="shared" si="12"/>
        <v>660000</v>
      </c>
      <c r="AE81" s="102"/>
      <c r="AF81" s="103"/>
      <c r="AG81" s="103"/>
      <c r="AH81" s="103"/>
      <c r="AI81" s="104"/>
      <c r="AJ81" s="104"/>
      <c r="AK81" s="105"/>
      <c r="AL81" s="104"/>
      <c r="AM81" s="102"/>
    </row>
    <row r="82" spans="1:39" ht="45" customHeight="1" thickBot="1">
      <c r="B82" s="69" t="s">
        <v>751</v>
      </c>
      <c r="M82" s="131">
        <v>660600</v>
      </c>
      <c r="N82" s="223">
        <v>339651</v>
      </c>
      <c r="O82" s="132" t="s">
        <v>244</v>
      </c>
      <c r="P82" s="132" t="s">
        <v>245</v>
      </c>
      <c r="Q82" s="133">
        <v>464</v>
      </c>
      <c r="R82" s="132" t="s">
        <v>246</v>
      </c>
      <c r="S82" s="132" t="s">
        <v>10</v>
      </c>
      <c r="T82" s="134">
        <v>42466</v>
      </c>
      <c r="U82" s="172">
        <f t="shared" si="13"/>
        <v>2016</v>
      </c>
      <c r="V82" s="172">
        <f t="shared" si="14"/>
        <v>4</v>
      </c>
      <c r="W82" s="44" t="s">
        <v>265</v>
      </c>
      <c r="X82" t="s">
        <v>894</v>
      </c>
      <c r="Y82">
        <v>1</v>
      </c>
      <c r="AA82" s="13">
        <f t="shared" si="12"/>
        <v>660600</v>
      </c>
      <c r="AE82" s="102"/>
      <c r="AF82" s="103"/>
      <c r="AG82" s="103"/>
      <c r="AH82" s="103"/>
      <c r="AI82" s="104"/>
      <c r="AJ82" s="104"/>
      <c r="AK82" s="105"/>
      <c r="AL82" s="104"/>
      <c r="AM82" s="102"/>
    </row>
    <row r="83" spans="1:39" ht="45.75" customHeight="1" thickBot="1">
      <c r="M83" s="131">
        <v>660755</v>
      </c>
      <c r="N83" s="223">
        <v>341669</v>
      </c>
      <c r="O83" s="132" t="s">
        <v>244</v>
      </c>
      <c r="P83" s="132" t="s">
        <v>245</v>
      </c>
      <c r="Q83" s="133">
        <v>587</v>
      </c>
      <c r="R83" s="132" t="s">
        <v>246</v>
      </c>
      <c r="S83" s="132" t="s">
        <v>10</v>
      </c>
      <c r="T83" s="134">
        <v>42466</v>
      </c>
      <c r="U83" s="172">
        <f t="shared" si="13"/>
        <v>2016</v>
      </c>
      <c r="V83" s="172">
        <f t="shared" si="14"/>
        <v>4</v>
      </c>
      <c r="W83" s="44" t="s">
        <v>265</v>
      </c>
      <c r="X83" t="s">
        <v>894</v>
      </c>
      <c r="Y83">
        <v>1</v>
      </c>
      <c r="AA83" s="13">
        <f t="shared" si="12"/>
        <v>660755</v>
      </c>
      <c r="AE83" s="102"/>
      <c r="AF83" s="103"/>
      <c r="AG83" s="103"/>
      <c r="AH83" s="103"/>
      <c r="AI83" s="104"/>
      <c r="AJ83" s="104"/>
      <c r="AK83" s="105"/>
      <c r="AL83" s="104"/>
      <c r="AM83" s="102"/>
    </row>
    <row r="84" spans="1:39" ht="45" customHeight="1" thickBot="1">
      <c r="M84" s="131">
        <v>666999</v>
      </c>
      <c r="N84" s="223">
        <v>340228</v>
      </c>
      <c r="O84" s="132" t="s">
        <v>244</v>
      </c>
      <c r="P84" s="132" t="s">
        <v>245</v>
      </c>
      <c r="Q84" s="133">
        <v>459</v>
      </c>
      <c r="R84" s="132" t="s">
        <v>246</v>
      </c>
      <c r="S84" s="132" t="s">
        <v>10</v>
      </c>
      <c r="T84" s="134">
        <v>42466</v>
      </c>
      <c r="U84" s="172">
        <f t="shared" si="13"/>
        <v>2016</v>
      </c>
      <c r="V84" s="172">
        <f t="shared" si="14"/>
        <v>4</v>
      </c>
      <c r="W84" s="44" t="s">
        <v>265</v>
      </c>
      <c r="X84" t="s">
        <v>894</v>
      </c>
      <c r="Y84">
        <v>1</v>
      </c>
      <c r="AA84" s="13">
        <f t="shared" si="12"/>
        <v>666999</v>
      </c>
      <c r="AE84" s="102"/>
      <c r="AF84" s="103"/>
      <c r="AG84" s="103"/>
      <c r="AH84" s="103"/>
      <c r="AI84" s="104"/>
      <c r="AJ84" s="104"/>
      <c r="AK84" s="105"/>
      <c r="AL84" s="104"/>
      <c r="AM84" s="102"/>
    </row>
    <row r="85" spans="1:39" ht="45" customHeight="1" thickBot="1">
      <c r="A85" s="108" t="s">
        <v>18</v>
      </c>
      <c r="B85" s="71" t="s">
        <v>758</v>
      </c>
      <c r="C85" s="83" t="s">
        <v>227</v>
      </c>
      <c r="D85" s="109">
        <v>7483</v>
      </c>
      <c r="E85" s="80" t="s">
        <v>669</v>
      </c>
      <c r="F85" s="74" t="s">
        <v>767</v>
      </c>
      <c r="G85" s="80" t="s">
        <v>669</v>
      </c>
      <c r="M85" s="131">
        <v>670000</v>
      </c>
      <c r="N85" s="223">
        <v>337633</v>
      </c>
      <c r="O85" s="132" t="s">
        <v>244</v>
      </c>
      <c r="P85" s="132" t="s">
        <v>245</v>
      </c>
      <c r="Q85" s="133">
        <v>529</v>
      </c>
      <c r="R85" s="132" t="s">
        <v>246</v>
      </c>
      <c r="S85" s="132" t="s">
        <v>10</v>
      </c>
      <c r="T85" s="134">
        <v>42466</v>
      </c>
      <c r="U85" s="172">
        <f t="shared" si="13"/>
        <v>2016</v>
      </c>
      <c r="V85" s="172">
        <f t="shared" si="14"/>
        <v>4</v>
      </c>
      <c r="W85" s="44" t="s">
        <v>265</v>
      </c>
      <c r="X85" t="s">
        <v>894</v>
      </c>
      <c r="Y85">
        <v>1</v>
      </c>
      <c r="AA85" s="13">
        <f t="shared" si="12"/>
        <v>670000</v>
      </c>
      <c r="AE85" s="102"/>
      <c r="AF85" s="103"/>
      <c r="AG85" s="103"/>
      <c r="AH85" s="103"/>
      <c r="AI85" s="104"/>
      <c r="AJ85" s="104"/>
      <c r="AK85" s="105"/>
      <c r="AL85" s="104"/>
      <c r="AM85" s="102"/>
    </row>
    <row r="86" spans="1:39" ht="45" customHeight="1" thickBot="1">
      <c r="A86" s="110"/>
      <c r="B86" s="72" t="s">
        <v>759</v>
      </c>
      <c r="C86" s="84"/>
      <c r="D86" s="111"/>
      <c r="E86" s="81"/>
      <c r="F86" s="75" t="s">
        <v>768</v>
      </c>
      <c r="G86" s="81"/>
      <c r="M86" s="131">
        <v>670000</v>
      </c>
      <c r="N86" s="223">
        <v>340516</v>
      </c>
      <c r="O86" s="132" t="s">
        <v>244</v>
      </c>
      <c r="P86" s="132" t="s">
        <v>245</v>
      </c>
      <c r="Q86" s="133">
        <v>465</v>
      </c>
      <c r="R86" s="132" t="s">
        <v>246</v>
      </c>
      <c r="S86" s="132" t="s">
        <v>10</v>
      </c>
      <c r="T86" s="134">
        <v>42466</v>
      </c>
      <c r="U86" s="172">
        <f t="shared" si="13"/>
        <v>2016</v>
      </c>
      <c r="V86" s="172">
        <f t="shared" si="14"/>
        <v>4</v>
      </c>
      <c r="W86" s="44" t="s">
        <v>265</v>
      </c>
      <c r="X86" t="s">
        <v>894</v>
      </c>
      <c r="Y86">
        <v>1</v>
      </c>
      <c r="AA86" s="13">
        <f t="shared" si="12"/>
        <v>670000</v>
      </c>
      <c r="AE86" s="102"/>
      <c r="AF86" s="103"/>
      <c r="AG86" s="103"/>
      <c r="AH86" s="103"/>
      <c r="AI86" s="104"/>
      <c r="AJ86" s="104"/>
      <c r="AK86" s="105"/>
      <c r="AL86" s="104"/>
      <c r="AM86" s="102"/>
    </row>
    <row r="87" spans="1:39" ht="45" customHeight="1" thickBot="1">
      <c r="A87" s="110"/>
      <c r="B87" s="72" t="s">
        <v>760</v>
      </c>
      <c r="C87" s="84"/>
      <c r="D87" s="111"/>
      <c r="E87" s="81"/>
      <c r="F87" s="75" t="s">
        <v>769</v>
      </c>
      <c r="G87" s="81"/>
      <c r="M87" s="131">
        <v>672500</v>
      </c>
      <c r="N87" s="223">
        <v>340228</v>
      </c>
      <c r="O87" s="132" t="s">
        <v>244</v>
      </c>
      <c r="P87" s="132" t="s">
        <v>245</v>
      </c>
      <c r="Q87" s="133">
        <v>460</v>
      </c>
      <c r="R87" s="132" t="s">
        <v>246</v>
      </c>
      <c r="S87" s="132" t="s">
        <v>10</v>
      </c>
      <c r="T87" s="134">
        <v>42466</v>
      </c>
      <c r="U87" s="172">
        <f t="shared" si="13"/>
        <v>2016</v>
      </c>
      <c r="V87" s="172">
        <f t="shared" si="14"/>
        <v>4</v>
      </c>
      <c r="W87" s="44" t="s">
        <v>265</v>
      </c>
      <c r="X87" t="s">
        <v>894</v>
      </c>
      <c r="Y87">
        <v>1</v>
      </c>
      <c r="AA87" s="13">
        <f t="shared" si="12"/>
        <v>672500</v>
      </c>
      <c r="AE87" s="102"/>
      <c r="AF87" s="103"/>
      <c r="AG87" s="103"/>
      <c r="AH87" s="103"/>
      <c r="AI87" s="104"/>
      <c r="AJ87" s="104"/>
      <c r="AK87" s="105"/>
      <c r="AL87" s="104"/>
      <c r="AM87" s="102"/>
    </row>
    <row r="88" spans="1:39" ht="45" customHeight="1" thickBot="1">
      <c r="A88" s="110"/>
      <c r="B88" s="72" t="s">
        <v>761</v>
      </c>
      <c r="C88" s="84"/>
      <c r="D88" s="111"/>
      <c r="E88" s="81"/>
      <c r="F88" s="75" t="s">
        <v>770</v>
      </c>
      <c r="G88" s="81"/>
      <c r="M88" s="131">
        <v>674000</v>
      </c>
      <c r="N88" s="223">
        <v>335903</v>
      </c>
      <c r="O88" s="132" t="s">
        <v>244</v>
      </c>
      <c r="P88" s="132" t="s">
        <v>245</v>
      </c>
      <c r="Q88" s="133">
        <v>471</v>
      </c>
      <c r="R88" s="132" t="s">
        <v>246</v>
      </c>
      <c r="S88" s="132" t="s">
        <v>10</v>
      </c>
      <c r="T88" s="134">
        <v>42466</v>
      </c>
      <c r="U88" s="172">
        <f t="shared" si="13"/>
        <v>2016</v>
      </c>
      <c r="V88" s="172">
        <f t="shared" si="14"/>
        <v>4</v>
      </c>
      <c r="W88" s="44" t="s">
        <v>265</v>
      </c>
      <c r="X88" t="s">
        <v>894</v>
      </c>
      <c r="Y88">
        <v>1</v>
      </c>
      <c r="AA88" s="13">
        <f t="shared" si="12"/>
        <v>674000</v>
      </c>
      <c r="AE88" s="102"/>
      <c r="AF88" s="103"/>
      <c r="AG88" s="103"/>
      <c r="AH88" s="103"/>
      <c r="AI88" s="104"/>
      <c r="AJ88" s="104"/>
      <c r="AK88" s="105"/>
      <c r="AL88" s="104"/>
      <c r="AM88" s="102"/>
    </row>
    <row r="89" spans="1:39" ht="45" customHeight="1" thickBot="1">
      <c r="A89" s="110"/>
      <c r="B89" s="72" t="s">
        <v>762</v>
      </c>
      <c r="C89" s="84"/>
      <c r="D89" s="111"/>
      <c r="E89" s="81"/>
      <c r="F89" s="75" t="s">
        <v>771</v>
      </c>
      <c r="G89" s="81"/>
      <c r="M89" s="131">
        <v>675000</v>
      </c>
      <c r="N89" s="223">
        <v>341381</v>
      </c>
      <c r="O89" s="132" t="s">
        <v>244</v>
      </c>
      <c r="P89" s="132" t="s">
        <v>245</v>
      </c>
      <c r="Q89" s="133">
        <v>458</v>
      </c>
      <c r="R89" s="132" t="s">
        <v>246</v>
      </c>
      <c r="S89" s="132" t="s">
        <v>10</v>
      </c>
      <c r="T89" s="134">
        <v>42466</v>
      </c>
      <c r="U89" s="172">
        <f t="shared" si="13"/>
        <v>2016</v>
      </c>
      <c r="V89" s="172">
        <f t="shared" si="14"/>
        <v>4</v>
      </c>
      <c r="W89" s="44" t="s">
        <v>265</v>
      </c>
      <c r="X89" t="s">
        <v>894</v>
      </c>
      <c r="Y89">
        <v>1</v>
      </c>
      <c r="AA89" s="13">
        <f t="shared" si="12"/>
        <v>675000</v>
      </c>
      <c r="AE89" s="102"/>
      <c r="AF89" s="103"/>
      <c r="AG89" s="103"/>
      <c r="AH89" s="103"/>
      <c r="AI89" s="104"/>
      <c r="AJ89" s="104"/>
      <c r="AK89" s="105"/>
      <c r="AL89" s="104"/>
      <c r="AM89" s="106"/>
    </row>
    <row r="90" spans="1:39" ht="45" customHeight="1" thickBot="1">
      <c r="A90" s="110"/>
      <c r="B90" s="72" t="s">
        <v>763</v>
      </c>
      <c r="C90" s="84"/>
      <c r="D90" s="111"/>
      <c r="E90" s="81"/>
      <c r="F90" s="75" t="s">
        <v>772</v>
      </c>
      <c r="G90" s="81"/>
      <c r="M90" s="131">
        <v>678754</v>
      </c>
      <c r="N90" s="223">
        <v>341381</v>
      </c>
      <c r="O90" s="132" t="s">
        <v>244</v>
      </c>
      <c r="P90" s="132" t="s">
        <v>245</v>
      </c>
      <c r="Q90" s="133">
        <v>586</v>
      </c>
      <c r="R90" s="132" t="s">
        <v>246</v>
      </c>
      <c r="S90" s="132" t="s">
        <v>10</v>
      </c>
      <c r="T90" s="134">
        <v>42466</v>
      </c>
      <c r="U90" s="172">
        <f t="shared" si="13"/>
        <v>2016</v>
      </c>
      <c r="V90" s="172">
        <f t="shared" si="14"/>
        <v>4</v>
      </c>
      <c r="W90" s="44" t="s">
        <v>265</v>
      </c>
      <c r="X90" t="s">
        <v>894</v>
      </c>
      <c r="Y90">
        <v>1</v>
      </c>
      <c r="AA90" s="13">
        <f t="shared" si="12"/>
        <v>678754</v>
      </c>
      <c r="AE90" s="102"/>
      <c r="AF90" s="103"/>
      <c r="AG90" s="103"/>
      <c r="AH90" s="103"/>
      <c r="AI90" s="104"/>
      <c r="AJ90" s="104"/>
      <c r="AK90" s="105"/>
      <c r="AL90" s="104"/>
      <c r="AM90" s="102"/>
    </row>
    <row r="91" spans="1:39" ht="45" customHeight="1" thickBot="1">
      <c r="A91" s="110"/>
      <c r="B91" s="72" t="s">
        <v>764</v>
      </c>
      <c r="C91" s="84"/>
      <c r="D91" s="111"/>
      <c r="E91" s="81"/>
      <c r="F91" s="59"/>
      <c r="G91" s="81"/>
      <c r="M91" s="131">
        <v>689000</v>
      </c>
      <c r="N91" s="223">
        <v>341093</v>
      </c>
      <c r="O91" s="132" t="s">
        <v>244</v>
      </c>
      <c r="P91" s="132" t="s">
        <v>245</v>
      </c>
      <c r="Q91" s="133">
        <v>537</v>
      </c>
      <c r="R91" s="132" t="s">
        <v>246</v>
      </c>
      <c r="S91" s="132" t="s">
        <v>10</v>
      </c>
      <c r="T91" s="134">
        <v>42466</v>
      </c>
      <c r="U91" s="172">
        <f t="shared" si="13"/>
        <v>2016</v>
      </c>
      <c r="V91" s="172">
        <f t="shared" si="14"/>
        <v>4</v>
      </c>
      <c r="W91" s="44" t="s">
        <v>265</v>
      </c>
      <c r="X91" t="s">
        <v>894</v>
      </c>
      <c r="Y91">
        <v>1</v>
      </c>
      <c r="AA91" s="13">
        <f t="shared" si="12"/>
        <v>689000</v>
      </c>
      <c r="AE91" s="102"/>
      <c r="AF91" s="103"/>
      <c r="AG91" s="103"/>
      <c r="AH91" s="103"/>
      <c r="AI91" s="104"/>
      <c r="AJ91" s="104"/>
      <c r="AK91" s="105"/>
      <c r="AL91" s="104"/>
      <c r="AM91" s="102"/>
    </row>
    <row r="92" spans="1:39" ht="45.75" customHeight="1" thickBot="1">
      <c r="A92" s="110"/>
      <c r="B92" s="72" t="s">
        <v>765</v>
      </c>
      <c r="C92" s="84"/>
      <c r="D92" s="111"/>
      <c r="E92" s="81"/>
      <c r="F92" s="59"/>
      <c r="G92" s="81"/>
      <c r="M92" s="131">
        <v>689649</v>
      </c>
      <c r="N92" s="223">
        <v>340516</v>
      </c>
      <c r="O92" s="132" t="s">
        <v>244</v>
      </c>
      <c r="P92" s="132" t="s">
        <v>245</v>
      </c>
      <c r="Q92" s="133">
        <v>466</v>
      </c>
      <c r="R92" s="132" t="s">
        <v>246</v>
      </c>
      <c r="S92" s="132" t="s">
        <v>10</v>
      </c>
      <c r="T92" s="134">
        <v>42466</v>
      </c>
      <c r="U92" s="172">
        <f t="shared" si="13"/>
        <v>2016</v>
      </c>
      <c r="V92" s="172">
        <f t="shared" si="14"/>
        <v>4</v>
      </c>
      <c r="W92" s="44" t="s">
        <v>265</v>
      </c>
      <c r="X92" t="s">
        <v>894</v>
      </c>
      <c r="Y92">
        <v>1</v>
      </c>
      <c r="AA92" s="13">
        <f t="shared" si="12"/>
        <v>689649</v>
      </c>
      <c r="AE92" s="102"/>
      <c r="AF92" s="103"/>
      <c r="AG92" s="103"/>
      <c r="AH92" s="103"/>
      <c r="AI92" s="104"/>
      <c r="AJ92" s="104"/>
      <c r="AK92" s="105"/>
      <c r="AL92" s="104"/>
      <c r="AM92" s="102"/>
    </row>
    <row r="93" spans="1:39" ht="45" customHeight="1" thickBot="1">
      <c r="A93" s="112"/>
      <c r="B93" s="73" t="s">
        <v>766</v>
      </c>
      <c r="C93" s="85"/>
      <c r="D93" s="113"/>
      <c r="E93" s="82"/>
      <c r="F93" s="54"/>
      <c r="G93" s="82"/>
      <c r="M93" s="131">
        <v>693626</v>
      </c>
      <c r="N93" s="222">
        <v>365887</v>
      </c>
      <c r="O93" s="132" t="s">
        <v>244</v>
      </c>
      <c r="P93" s="132" t="s">
        <v>245</v>
      </c>
      <c r="Q93" s="133">
        <v>483</v>
      </c>
      <c r="R93" s="132" t="s">
        <v>246</v>
      </c>
      <c r="S93" s="132" t="s">
        <v>10</v>
      </c>
      <c r="T93" s="134">
        <v>42466</v>
      </c>
      <c r="U93" s="172">
        <f t="shared" si="13"/>
        <v>2016</v>
      </c>
      <c r="V93" s="172">
        <f t="shared" si="14"/>
        <v>4</v>
      </c>
      <c r="W93" s="44" t="s">
        <v>265</v>
      </c>
      <c r="X93" t="s">
        <v>894</v>
      </c>
      <c r="Y93">
        <v>1</v>
      </c>
      <c r="AA93" s="13">
        <f t="shared" si="12"/>
        <v>693626</v>
      </c>
      <c r="AE93" s="102"/>
      <c r="AF93" s="103"/>
      <c r="AG93" s="103"/>
      <c r="AH93" s="103"/>
      <c r="AI93" s="104"/>
      <c r="AJ93" s="104"/>
      <c r="AK93" s="105"/>
      <c r="AL93" s="104"/>
      <c r="AM93" s="102"/>
    </row>
    <row r="94" spans="1:39" ht="45" customHeight="1" thickBot="1">
      <c r="A94" s="108" t="s">
        <v>773</v>
      </c>
      <c r="B94" s="68" t="s">
        <v>189</v>
      </c>
      <c r="C94" s="83" t="s">
        <v>226</v>
      </c>
      <c r="D94" s="109">
        <v>16393</v>
      </c>
      <c r="E94" s="80" t="s">
        <v>624</v>
      </c>
      <c r="F94" s="77" t="s">
        <v>778</v>
      </c>
      <c r="G94" s="80" t="s">
        <v>624</v>
      </c>
      <c r="M94" s="131">
        <v>695100</v>
      </c>
      <c r="N94" s="223">
        <v>337633</v>
      </c>
      <c r="O94" s="132" t="s">
        <v>244</v>
      </c>
      <c r="P94" s="132" t="s">
        <v>245</v>
      </c>
      <c r="Q94" s="133">
        <v>517</v>
      </c>
      <c r="R94" s="132" t="s">
        <v>246</v>
      </c>
      <c r="S94" s="132" t="s">
        <v>10</v>
      </c>
      <c r="T94" s="134">
        <v>42466</v>
      </c>
      <c r="U94" s="172">
        <f t="shared" si="13"/>
        <v>2016</v>
      </c>
      <c r="V94" s="172">
        <f t="shared" si="14"/>
        <v>4</v>
      </c>
      <c r="W94" s="44" t="s">
        <v>265</v>
      </c>
      <c r="X94" t="s">
        <v>894</v>
      </c>
      <c r="Y94">
        <v>1</v>
      </c>
      <c r="AA94" s="13">
        <f t="shared" si="12"/>
        <v>695100</v>
      </c>
      <c r="AE94" s="102"/>
      <c r="AF94" s="103"/>
      <c r="AG94" s="103"/>
      <c r="AH94" s="103"/>
      <c r="AI94" s="104"/>
      <c r="AJ94" s="104"/>
      <c r="AK94" s="105"/>
      <c r="AL94" s="104"/>
      <c r="AM94" s="102"/>
    </row>
    <row r="95" spans="1:39" ht="45" customHeight="1" thickBot="1">
      <c r="A95" s="110"/>
      <c r="B95" s="78" t="s">
        <v>774</v>
      </c>
      <c r="C95" s="84"/>
      <c r="D95" s="111"/>
      <c r="E95" s="81"/>
      <c r="F95" s="75" t="s">
        <v>200</v>
      </c>
      <c r="G95" s="81"/>
      <c r="M95" s="131">
        <v>698180</v>
      </c>
      <c r="N95" s="223">
        <v>337633</v>
      </c>
      <c r="O95" s="132" t="s">
        <v>244</v>
      </c>
      <c r="P95" s="132" t="s">
        <v>245</v>
      </c>
      <c r="Q95" s="133">
        <v>527</v>
      </c>
      <c r="R95" s="132" t="s">
        <v>246</v>
      </c>
      <c r="S95" s="132" t="s">
        <v>10</v>
      </c>
      <c r="T95" s="134">
        <v>42466</v>
      </c>
      <c r="U95" s="172">
        <f t="shared" si="13"/>
        <v>2016</v>
      </c>
      <c r="V95" s="172">
        <f t="shared" si="14"/>
        <v>4</v>
      </c>
      <c r="W95" s="44" t="s">
        <v>265</v>
      </c>
      <c r="X95" t="s">
        <v>894</v>
      </c>
      <c r="Y95">
        <v>1</v>
      </c>
      <c r="AA95" s="13">
        <f t="shared" si="12"/>
        <v>698180</v>
      </c>
      <c r="AE95" s="102"/>
      <c r="AF95" s="103"/>
      <c r="AG95" s="103"/>
      <c r="AH95" s="103"/>
      <c r="AI95" s="104"/>
      <c r="AJ95" s="104"/>
      <c r="AK95" s="105"/>
      <c r="AL95" s="104"/>
      <c r="AM95" s="102"/>
    </row>
    <row r="96" spans="1:39" ht="45" customHeight="1" thickBot="1">
      <c r="A96" s="110"/>
      <c r="B96" s="78" t="s">
        <v>775</v>
      </c>
      <c r="C96" s="84"/>
      <c r="D96" s="111"/>
      <c r="E96" s="81"/>
      <c r="F96" s="72"/>
      <c r="G96" s="81"/>
      <c r="M96" s="131">
        <v>700000</v>
      </c>
      <c r="N96" s="222">
        <v>178727</v>
      </c>
      <c r="O96" s="132" t="s">
        <v>244</v>
      </c>
      <c r="P96" s="132" t="s">
        <v>245</v>
      </c>
      <c r="Q96" s="133">
        <v>108</v>
      </c>
      <c r="R96" s="132" t="s">
        <v>246</v>
      </c>
      <c r="S96" s="132" t="s">
        <v>10</v>
      </c>
      <c r="T96" s="134">
        <v>42050</v>
      </c>
      <c r="U96" s="172">
        <f t="shared" si="13"/>
        <v>2015</v>
      </c>
      <c r="V96" s="172">
        <f t="shared" si="14"/>
        <v>2</v>
      </c>
      <c r="W96" s="44" t="s">
        <v>269</v>
      </c>
      <c r="X96" t="s">
        <v>894</v>
      </c>
      <c r="Y96">
        <v>1</v>
      </c>
      <c r="AA96" s="13">
        <f t="shared" si="12"/>
        <v>700000</v>
      </c>
      <c r="AE96" s="102"/>
      <c r="AF96" s="103"/>
      <c r="AG96" s="103"/>
      <c r="AH96" s="103"/>
      <c r="AI96" s="104"/>
      <c r="AJ96" s="104"/>
      <c r="AK96" s="105"/>
      <c r="AL96" s="104"/>
      <c r="AM96" s="102"/>
    </row>
    <row r="97" spans="1:39" ht="45.75" hidden="1" customHeight="1" thickBot="1">
      <c r="A97" s="110"/>
      <c r="B97" s="69" t="s">
        <v>776</v>
      </c>
      <c r="C97" s="84"/>
      <c r="D97" s="111"/>
      <c r="E97" s="81"/>
      <c r="F97" s="72"/>
      <c r="G97" s="81"/>
      <c r="M97" s="131">
        <v>700000</v>
      </c>
      <c r="N97" s="222">
        <v>15896804</v>
      </c>
      <c r="O97" s="132" t="s">
        <v>248</v>
      </c>
      <c r="P97" s="132" t="s">
        <v>245</v>
      </c>
      <c r="Q97" s="133">
        <v>22519</v>
      </c>
      <c r="R97" s="132" t="s">
        <v>267</v>
      </c>
      <c r="S97" s="132" t="s">
        <v>10</v>
      </c>
      <c r="T97" s="134">
        <v>41953</v>
      </c>
      <c r="U97" s="172">
        <f t="shared" si="13"/>
        <v>2014</v>
      </c>
      <c r="V97" s="172">
        <f t="shared" si="14"/>
        <v>11</v>
      </c>
      <c r="W97" s="44" t="s">
        <v>270</v>
      </c>
      <c r="X97" t="s">
        <v>894</v>
      </c>
      <c r="Y97">
        <v>120</v>
      </c>
      <c r="AA97" s="13">
        <f t="shared" si="12"/>
        <v>700000</v>
      </c>
      <c r="AE97" s="102"/>
      <c r="AF97" s="103"/>
      <c r="AG97" s="103"/>
      <c r="AH97" s="103"/>
      <c r="AI97" s="104"/>
      <c r="AJ97" s="104"/>
      <c r="AK97" s="105"/>
      <c r="AL97" s="104"/>
      <c r="AM97" s="102"/>
    </row>
    <row r="98" spans="1:39" ht="45" customHeight="1" thickBot="1">
      <c r="A98" s="110"/>
      <c r="B98" s="69" t="s">
        <v>193</v>
      </c>
      <c r="C98" s="84"/>
      <c r="D98" s="111"/>
      <c r="E98" s="81"/>
      <c r="F98" s="59"/>
      <c r="G98" s="81"/>
      <c r="M98" s="131">
        <v>700830</v>
      </c>
      <c r="N98" s="223">
        <v>340516</v>
      </c>
      <c r="O98" s="132" t="s">
        <v>244</v>
      </c>
      <c r="P98" s="132" t="s">
        <v>245</v>
      </c>
      <c r="Q98" s="133">
        <v>584</v>
      </c>
      <c r="R98" s="132" t="s">
        <v>246</v>
      </c>
      <c r="S98" s="132" t="s">
        <v>10</v>
      </c>
      <c r="T98" s="134">
        <v>42466</v>
      </c>
      <c r="U98" s="172">
        <f t="shared" si="13"/>
        <v>2016</v>
      </c>
      <c r="V98" s="172">
        <f t="shared" si="14"/>
        <v>4</v>
      </c>
      <c r="W98" s="44" t="s">
        <v>265</v>
      </c>
      <c r="X98" t="s">
        <v>894</v>
      </c>
      <c r="Y98">
        <v>1</v>
      </c>
      <c r="AA98" s="13">
        <f t="shared" si="12"/>
        <v>700830</v>
      </c>
      <c r="AE98" s="102"/>
      <c r="AF98" s="103"/>
      <c r="AG98" s="103"/>
      <c r="AH98" s="103"/>
      <c r="AI98" s="104"/>
      <c r="AJ98" s="104"/>
      <c r="AK98" s="105"/>
      <c r="AL98" s="104"/>
      <c r="AM98" s="102"/>
    </row>
    <row r="99" spans="1:39" ht="45" customHeight="1" thickBot="1">
      <c r="A99" s="110"/>
      <c r="B99" s="69" t="s">
        <v>194</v>
      </c>
      <c r="C99" s="84"/>
      <c r="D99" s="111"/>
      <c r="E99" s="81"/>
      <c r="F99" s="59"/>
      <c r="G99" s="81"/>
      <c r="M99" s="131">
        <v>700830</v>
      </c>
      <c r="N99" s="223">
        <v>340516</v>
      </c>
      <c r="O99" s="132" t="s">
        <v>244</v>
      </c>
      <c r="P99" s="132" t="s">
        <v>245</v>
      </c>
      <c r="Q99" s="133">
        <v>585</v>
      </c>
      <c r="R99" s="132" t="s">
        <v>246</v>
      </c>
      <c r="S99" s="132" t="s">
        <v>10</v>
      </c>
      <c r="T99" s="134">
        <v>42466</v>
      </c>
      <c r="U99" s="172">
        <f t="shared" si="13"/>
        <v>2016</v>
      </c>
      <c r="V99" s="172">
        <f t="shared" si="14"/>
        <v>4</v>
      </c>
      <c r="W99" s="44" t="s">
        <v>265</v>
      </c>
      <c r="X99" t="s">
        <v>894</v>
      </c>
      <c r="Y99">
        <v>1</v>
      </c>
      <c r="AA99" s="13">
        <f t="shared" si="12"/>
        <v>700830</v>
      </c>
      <c r="AE99" s="102"/>
      <c r="AF99" s="103"/>
      <c r="AG99" s="103"/>
      <c r="AH99" s="103"/>
      <c r="AI99" s="104"/>
      <c r="AJ99" s="104"/>
      <c r="AK99" s="105"/>
      <c r="AL99" s="104"/>
      <c r="AM99" s="106"/>
    </row>
    <row r="100" spans="1:39" ht="45" customHeight="1" thickBot="1">
      <c r="A100" s="110"/>
      <c r="B100" s="69" t="s">
        <v>195</v>
      </c>
      <c r="C100" s="84"/>
      <c r="D100" s="111"/>
      <c r="E100" s="81"/>
      <c r="F100" s="59"/>
      <c r="G100" s="81"/>
      <c r="M100" s="131">
        <v>701000</v>
      </c>
      <c r="N100" s="223">
        <v>333308</v>
      </c>
      <c r="O100" s="132" t="s">
        <v>244</v>
      </c>
      <c r="P100" s="132" t="s">
        <v>245</v>
      </c>
      <c r="Q100" s="133">
        <v>575</v>
      </c>
      <c r="R100" s="132" t="s">
        <v>246</v>
      </c>
      <c r="S100" s="132" t="s">
        <v>10</v>
      </c>
      <c r="T100" s="134">
        <v>42466</v>
      </c>
      <c r="U100" s="172">
        <f t="shared" si="13"/>
        <v>2016</v>
      </c>
      <c r="V100" s="172">
        <f t="shared" si="14"/>
        <v>4</v>
      </c>
      <c r="W100" s="44" t="s">
        <v>265</v>
      </c>
      <c r="X100" t="s">
        <v>894</v>
      </c>
      <c r="Y100">
        <v>1</v>
      </c>
      <c r="AA100" s="13">
        <f t="shared" si="12"/>
        <v>701000</v>
      </c>
      <c r="AE100" s="102"/>
      <c r="AF100" s="103"/>
      <c r="AG100" s="103"/>
      <c r="AH100" s="103"/>
      <c r="AI100" s="104"/>
      <c r="AJ100" s="104"/>
      <c r="AK100" s="105"/>
      <c r="AL100" s="104"/>
      <c r="AM100" s="102"/>
    </row>
    <row r="101" spans="1:39" ht="45.75" customHeight="1" thickBot="1">
      <c r="A101" s="110"/>
      <c r="B101" s="69" t="s">
        <v>197</v>
      </c>
      <c r="C101" s="84"/>
      <c r="D101" s="111"/>
      <c r="E101" s="81"/>
      <c r="F101" s="59"/>
      <c r="G101" s="81"/>
      <c r="M101" s="131">
        <v>705000</v>
      </c>
      <c r="N101" s="223">
        <v>341381</v>
      </c>
      <c r="O101" s="132" t="s">
        <v>244</v>
      </c>
      <c r="P101" s="132" t="s">
        <v>245</v>
      </c>
      <c r="Q101" s="133">
        <v>531</v>
      </c>
      <c r="R101" s="132" t="s">
        <v>246</v>
      </c>
      <c r="S101" s="132" t="s">
        <v>10</v>
      </c>
      <c r="T101" s="134">
        <v>42466</v>
      </c>
      <c r="U101" s="172">
        <f t="shared" si="13"/>
        <v>2016</v>
      </c>
      <c r="V101" s="172">
        <f t="shared" si="14"/>
        <v>4</v>
      </c>
      <c r="W101" s="44" t="s">
        <v>265</v>
      </c>
      <c r="X101" t="s">
        <v>894</v>
      </c>
      <c r="Y101">
        <v>1</v>
      </c>
      <c r="AA101" s="13">
        <f t="shared" si="12"/>
        <v>705000</v>
      </c>
      <c r="AE101" s="102"/>
      <c r="AF101" s="103"/>
      <c r="AG101" s="103"/>
      <c r="AH101" s="103"/>
      <c r="AI101" s="104"/>
      <c r="AJ101" s="104"/>
      <c r="AK101" s="105"/>
      <c r="AL101" s="104"/>
      <c r="AM101" s="102"/>
    </row>
    <row r="102" spans="1:39" ht="30" customHeight="1" thickBot="1">
      <c r="A102" s="112"/>
      <c r="B102" s="70" t="s">
        <v>777</v>
      </c>
      <c r="C102" s="85"/>
      <c r="D102" s="113"/>
      <c r="E102" s="82"/>
      <c r="F102" s="54"/>
      <c r="G102" s="82"/>
      <c r="M102" s="131">
        <v>711389</v>
      </c>
      <c r="N102" s="223">
        <v>337633</v>
      </c>
      <c r="O102" s="132" t="s">
        <v>244</v>
      </c>
      <c r="P102" s="132" t="s">
        <v>245</v>
      </c>
      <c r="Q102" s="133">
        <v>505</v>
      </c>
      <c r="R102" s="132" t="s">
        <v>246</v>
      </c>
      <c r="S102" s="132" t="s">
        <v>10</v>
      </c>
      <c r="T102" s="134">
        <v>42466</v>
      </c>
      <c r="U102" s="172">
        <f t="shared" si="13"/>
        <v>2016</v>
      </c>
      <c r="V102" s="172">
        <f t="shared" si="14"/>
        <v>4</v>
      </c>
      <c r="W102" s="44" t="s">
        <v>265</v>
      </c>
      <c r="X102" t="s">
        <v>894</v>
      </c>
      <c r="Y102">
        <v>1</v>
      </c>
      <c r="AA102" s="13">
        <f t="shared" si="12"/>
        <v>711389</v>
      </c>
      <c r="AE102" s="102"/>
      <c r="AF102" s="103"/>
      <c r="AG102" s="103"/>
      <c r="AH102" s="103"/>
      <c r="AI102" s="104"/>
      <c r="AJ102" s="104"/>
      <c r="AK102" s="105"/>
      <c r="AL102" s="104"/>
      <c r="AM102" s="102"/>
    </row>
    <row r="103" spans="1:39" ht="30" customHeight="1" thickBot="1">
      <c r="A103" s="108" t="s">
        <v>779</v>
      </c>
      <c r="B103" s="77" t="s">
        <v>780</v>
      </c>
      <c r="C103" s="83" t="s">
        <v>225</v>
      </c>
      <c r="D103" s="109">
        <v>9436</v>
      </c>
      <c r="E103" s="83"/>
      <c r="F103" s="62"/>
      <c r="G103" s="83"/>
      <c r="M103" s="131">
        <v>712000</v>
      </c>
      <c r="N103" s="223">
        <v>333308</v>
      </c>
      <c r="O103" s="132" t="s">
        <v>244</v>
      </c>
      <c r="P103" s="132" t="s">
        <v>245</v>
      </c>
      <c r="Q103" s="133">
        <v>576</v>
      </c>
      <c r="R103" s="132" t="s">
        <v>246</v>
      </c>
      <c r="S103" s="132" t="s">
        <v>10</v>
      </c>
      <c r="T103" s="134">
        <v>42466</v>
      </c>
      <c r="U103" s="172">
        <f t="shared" si="13"/>
        <v>2016</v>
      </c>
      <c r="V103" s="172">
        <f t="shared" si="14"/>
        <v>4</v>
      </c>
      <c r="W103" s="44" t="s">
        <v>265</v>
      </c>
      <c r="X103" t="s">
        <v>894</v>
      </c>
      <c r="Y103">
        <v>1</v>
      </c>
      <c r="AA103" s="13">
        <f t="shared" si="12"/>
        <v>712000</v>
      </c>
      <c r="AE103" s="102"/>
      <c r="AF103" s="103"/>
      <c r="AG103" s="103"/>
      <c r="AH103" s="103"/>
      <c r="AI103" s="104"/>
      <c r="AJ103" s="104"/>
      <c r="AK103" s="105"/>
      <c r="AL103" s="104"/>
      <c r="AM103" s="102"/>
    </row>
    <row r="104" spans="1:39" ht="45.75" customHeight="1" thickBot="1">
      <c r="A104" s="110"/>
      <c r="B104" s="78" t="s">
        <v>781</v>
      </c>
      <c r="C104" s="84"/>
      <c r="D104" s="111"/>
      <c r="E104" s="84"/>
      <c r="F104" s="78" t="s">
        <v>785</v>
      </c>
      <c r="G104" s="84"/>
      <c r="M104" s="131">
        <v>712650</v>
      </c>
      <c r="N104" s="223">
        <v>222132</v>
      </c>
      <c r="O104" s="132" t="s">
        <v>244</v>
      </c>
      <c r="P104" s="132" t="s">
        <v>245</v>
      </c>
      <c r="Q104" s="133">
        <v>429</v>
      </c>
      <c r="R104" s="132" t="s">
        <v>246</v>
      </c>
      <c r="S104" s="132" t="s">
        <v>10</v>
      </c>
      <c r="T104" s="134">
        <v>42050</v>
      </c>
      <c r="U104" s="172">
        <f t="shared" si="13"/>
        <v>2015</v>
      </c>
      <c r="V104" s="172">
        <f t="shared" si="14"/>
        <v>2</v>
      </c>
      <c r="W104" s="44" t="s">
        <v>269</v>
      </c>
      <c r="X104" t="s">
        <v>894</v>
      </c>
      <c r="Y104">
        <v>1</v>
      </c>
      <c r="AA104" s="13">
        <f t="shared" si="12"/>
        <v>712650</v>
      </c>
      <c r="AE104" s="102"/>
      <c r="AF104" s="103"/>
      <c r="AG104" s="103"/>
      <c r="AH104" s="103"/>
      <c r="AI104" s="104"/>
      <c r="AJ104" s="104"/>
      <c r="AK104" s="105"/>
      <c r="AL104" s="104"/>
      <c r="AM104" s="102"/>
    </row>
    <row r="105" spans="1:39" ht="45" customHeight="1" thickBot="1">
      <c r="A105" s="110"/>
      <c r="B105" s="69" t="s">
        <v>782</v>
      </c>
      <c r="C105" s="84"/>
      <c r="D105" s="111"/>
      <c r="E105" s="84"/>
      <c r="F105" s="75" t="s">
        <v>786</v>
      </c>
      <c r="G105" s="84"/>
      <c r="M105" s="131">
        <v>718678</v>
      </c>
      <c r="N105" s="223">
        <v>338498</v>
      </c>
      <c r="O105" s="132" t="s">
        <v>244</v>
      </c>
      <c r="P105" s="132" t="s">
        <v>245</v>
      </c>
      <c r="Q105" s="133">
        <v>590</v>
      </c>
      <c r="R105" s="132" t="s">
        <v>246</v>
      </c>
      <c r="S105" s="132" t="s">
        <v>10</v>
      </c>
      <c r="T105" s="134">
        <v>42466</v>
      </c>
      <c r="U105" s="172">
        <f t="shared" si="13"/>
        <v>2016</v>
      </c>
      <c r="V105" s="172">
        <f t="shared" si="14"/>
        <v>4</v>
      </c>
      <c r="W105" s="44" t="s">
        <v>265</v>
      </c>
      <c r="X105" t="s">
        <v>894</v>
      </c>
      <c r="Y105">
        <v>1</v>
      </c>
      <c r="AA105" s="13">
        <f t="shared" si="12"/>
        <v>718678</v>
      </c>
      <c r="AE105" s="102"/>
      <c r="AF105" s="103"/>
      <c r="AG105" s="103"/>
      <c r="AH105" s="103"/>
      <c r="AI105" s="104"/>
      <c r="AJ105" s="104"/>
      <c r="AK105" s="105"/>
      <c r="AL105" s="104"/>
      <c r="AM105" s="102"/>
    </row>
    <row r="106" spans="1:39" ht="45" customHeight="1" thickBot="1">
      <c r="A106" s="110"/>
      <c r="B106" s="69" t="s">
        <v>783</v>
      </c>
      <c r="C106" s="84"/>
      <c r="D106" s="111"/>
      <c r="E106" s="84"/>
      <c r="F106" s="59"/>
      <c r="G106" s="84"/>
      <c r="M106" s="131">
        <v>720000</v>
      </c>
      <c r="N106" s="223">
        <v>331666</v>
      </c>
      <c r="O106" s="132" t="s">
        <v>244</v>
      </c>
      <c r="P106" s="132" t="s">
        <v>245</v>
      </c>
      <c r="Q106" s="133">
        <v>479</v>
      </c>
      <c r="R106" s="132" t="s">
        <v>246</v>
      </c>
      <c r="S106" s="132" t="s">
        <v>10</v>
      </c>
      <c r="T106" s="134">
        <v>42466</v>
      </c>
      <c r="U106" s="172">
        <f t="shared" si="13"/>
        <v>2016</v>
      </c>
      <c r="V106" s="172">
        <f t="shared" si="14"/>
        <v>4</v>
      </c>
      <c r="W106" s="44" t="s">
        <v>265</v>
      </c>
      <c r="X106" t="s">
        <v>894</v>
      </c>
      <c r="Y106">
        <v>1</v>
      </c>
      <c r="AA106" s="13">
        <f t="shared" si="12"/>
        <v>720000</v>
      </c>
      <c r="AE106" s="102"/>
      <c r="AF106" s="103"/>
      <c r="AG106" s="103"/>
      <c r="AH106" s="103"/>
      <c r="AI106" s="104"/>
      <c r="AJ106" s="104"/>
      <c r="AK106" s="105"/>
      <c r="AL106" s="104"/>
      <c r="AM106" s="102"/>
    </row>
    <row r="107" spans="1:39" ht="45" customHeight="1" thickBot="1">
      <c r="A107" s="112"/>
      <c r="B107" s="70" t="s">
        <v>784</v>
      </c>
      <c r="C107" s="85"/>
      <c r="D107" s="113"/>
      <c r="E107" s="85"/>
      <c r="F107" s="54"/>
      <c r="G107" s="85"/>
      <c r="M107" s="131">
        <v>720000</v>
      </c>
      <c r="N107" s="222">
        <v>354355</v>
      </c>
      <c r="O107" s="132" t="s">
        <v>244</v>
      </c>
      <c r="P107" s="132" t="s">
        <v>245</v>
      </c>
      <c r="Q107" s="133">
        <v>534</v>
      </c>
      <c r="R107" s="132" t="s">
        <v>246</v>
      </c>
      <c r="S107" s="132" t="s">
        <v>10</v>
      </c>
      <c r="T107" s="134">
        <v>42466</v>
      </c>
      <c r="U107" s="172">
        <f t="shared" si="13"/>
        <v>2016</v>
      </c>
      <c r="V107" s="172">
        <f t="shared" si="14"/>
        <v>4</v>
      </c>
      <c r="W107" s="44" t="s">
        <v>265</v>
      </c>
      <c r="X107" t="s">
        <v>894</v>
      </c>
      <c r="Y107">
        <v>1</v>
      </c>
      <c r="AA107" s="13">
        <f t="shared" si="12"/>
        <v>720000</v>
      </c>
      <c r="AE107" s="102"/>
      <c r="AF107" s="103"/>
      <c r="AG107" s="103"/>
      <c r="AH107" s="103"/>
      <c r="AI107" s="104"/>
      <c r="AJ107" s="104"/>
      <c r="AK107" s="105"/>
      <c r="AL107" s="104"/>
      <c r="AM107" s="102"/>
    </row>
    <row r="108" spans="1:39" ht="45.75" customHeight="1" thickBot="1">
      <c r="A108" s="108" t="s">
        <v>110</v>
      </c>
      <c r="B108" s="77" t="s">
        <v>787</v>
      </c>
      <c r="C108" s="83" t="s">
        <v>224</v>
      </c>
      <c r="D108" s="83" t="s">
        <v>791</v>
      </c>
      <c r="E108" s="43" t="s">
        <v>895</v>
      </c>
      <c r="F108" s="77" t="s">
        <v>113</v>
      </c>
      <c r="G108" s="83"/>
      <c r="H108" s="43"/>
      <c r="I108" s="44"/>
      <c r="M108" s="131">
        <v>720720</v>
      </c>
      <c r="N108" s="223">
        <v>338786</v>
      </c>
      <c r="O108" s="132" t="s">
        <v>244</v>
      </c>
      <c r="P108" s="132" t="s">
        <v>245</v>
      </c>
      <c r="Q108" s="133">
        <v>592</v>
      </c>
      <c r="R108" s="132" t="s">
        <v>246</v>
      </c>
      <c r="S108" s="132" t="s">
        <v>10</v>
      </c>
      <c r="T108" s="134">
        <v>42466</v>
      </c>
      <c r="U108" s="172">
        <f t="shared" si="13"/>
        <v>2016</v>
      </c>
      <c r="V108" s="172">
        <f t="shared" si="14"/>
        <v>4</v>
      </c>
      <c r="W108" s="44" t="s">
        <v>265</v>
      </c>
      <c r="X108" t="s">
        <v>894</v>
      </c>
      <c r="Y108">
        <v>1</v>
      </c>
      <c r="AA108" s="13">
        <f t="shared" si="12"/>
        <v>720720</v>
      </c>
      <c r="AE108" s="102"/>
      <c r="AF108" s="103"/>
      <c r="AG108" s="103"/>
      <c r="AH108" s="103"/>
      <c r="AI108" s="104"/>
      <c r="AJ108" s="104"/>
      <c r="AK108" s="105"/>
      <c r="AL108" s="104"/>
      <c r="AM108" s="102"/>
    </row>
    <row r="109" spans="1:39" ht="45.75" customHeight="1" thickBot="1">
      <c r="A109" s="110"/>
      <c r="B109" s="78" t="s">
        <v>788</v>
      </c>
      <c r="C109" s="84"/>
      <c r="D109" s="84"/>
      <c r="E109" s="43" t="s">
        <v>896</v>
      </c>
      <c r="F109" s="75" t="s">
        <v>792</v>
      </c>
      <c r="G109" s="84"/>
      <c r="H109" s="43"/>
      <c r="I109" s="44"/>
      <c r="M109" s="131">
        <v>725000</v>
      </c>
      <c r="N109" s="223">
        <v>340516</v>
      </c>
      <c r="O109" s="132" t="s">
        <v>244</v>
      </c>
      <c r="P109" s="132" t="s">
        <v>245</v>
      </c>
      <c r="Q109" s="133">
        <v>538</v>
      </c>
      <c r="R109" s="132" t="s">
        <v>246</v>
      </c>
      <c r="S109" s="132" t="s">
        <v>10</v>
      </c>
      <c r="T109" s="134">
        <v>42466</v>
      </c>
      <c r="U109" s="172">
        <f t="shared" si="13"/>
        <v>2016</v>
      </c>
      <c r="V109" s="172">
        <f t="shared" si="14"/>
        <v>4</v>
      </c>
      <c r="W109" s="44" t="s">
        <v>265</v>
      </c>
      <c r="X109" t="s">
        <v>894</v>
      </c>
      <c r="Y109">
        <v>1</v>
      </c>
      <c r="AA109" s="13">
        <f t="shared" si="12"/>
        <v>725000</v>
      </c>
      <c r="AE109" s="102"/>
      <c r="AF109" s="103"/>
      <c r="AG109" s="103"/>
      <c r="AH109" s="103"/>
      <c r="AI109" s="104"/>
      <c r="AJ109" s="104"/>
      <c r="AK109" s="105"/>
      <c r="AL109" s="104"/>
      <c r="AM109" s="102"/>
    </row>
    <row r="110" spans="1:39" ht="45" customHeight="1" thickBot="1">
      <c r="A110" s="110"/>
      <c r="B110" s="69" t="s">
        <v>789</v>
      </c>
      <c r="C110" s="84"/>
      <c r="D110" s="84"/>
      <c r="E110" s="44" t="s">
        <v>330</v>
      </c>
      <c r="F110" s="69"/>
      <c r="G110" s="84"/>
      <c r="H110" s="43"/>
      <c r="I110" s="44"/>
      <c r="M110" s="131">
        <v>725000</v>
      </c>
      <c r="N110" s="223">
        <v>340516</v>
      </c>
      <c r="O110" s="132" t="s">
        <v>244</v>
      </c>
      <c r="P110" s="132" t="s">
        <v>245</v>
      </c>
      <c r="Q110" s="133">
        <v>583</v>
      </c>
      <c r="R110" s="132" t="s">
        <v>246</v>
      </c>
      <c r="S110" s="132" t="s">
        <v>10</v>
      </c>
      <c r="T110" s="134">
        <v>42466</v>
      </c>
      <c r="U110" s="172">
        <f t="shared" si="13"/>
        <v>2016</v>
      </c>
      <c r="V110" s="172">
        <f t="shared" si="14"/>
        <v>4</v>
      </c>
      <c r="W110" s="44" t="s">
        <v>265</v>
      </c>
      <c r="X110" t="s">
        <v>894</v>
      </c>
      <c r="Y110">
        <v>1</v>
      </c>
      <c r="AA110" s="13">
        <f t="shared" si="12"/>
        <v>725000</v>
      </c>
      <c r="AE110" s="102"/>
      <c r="AF110" s="103"/>
      <c r="AG110" s="103"/>
      <c r="AH110" s="103"/>
      <c r="AI110" s="104"/>
      <c r="AJ110" s="104"/>
      <c r="AK110" s="105"/>
      <c r="AL110" s="104"/>
      <c r="AM110" s="102"/>
    </row>
    <row r="111" spans="1:39" ht="45" customHeight="1" thickBot="1">
      <c r="A111" s="112"/>
      <c r="B111" s="70" t="s">
        <v>790</v>
      </c>
      <c r="C111" s="85"/>
      <c r="D111" s="85"/>
      <c r="E111" s="85"/>
      <c r="F111" s="70"/>
      <c r="G111" s="85"/>
      <c r="H111" s="43"/>
      <c r="I111" s="44"/>
      <c r="M111" s="131">
        <v>730000</v>
      </c>
      <c r="N111" s="223">
        <v>187676</v>
      </c>
      <c r="O111" s="132" t="s">
        <v>244</v>
      </c>
      <c r="P111" s="132" t="s">
        <v>245</v>
      </c>
      <c r="Q111" s="133">
        <v>152</v>
      </c>
      <c r="R111" s="132" t="s">
        <v>246</v>
      </c>
      <c r="S111" s="132" t="s">
        <v>10</v>
      </c>
      <c r="T111" s="134">
        <v>42050</v>
      </c>
      <c r="U111" s="172">
        <f t="shared" si="13"/>
        <v>2015</v>
      </c>
      <c r="V111" s="172">
        <f t="shared" si="14"/>
        <v>2</v>
      </c>
      <c r="W111" s="44" t="s">
        <v>269</v>
      </c>
      <c r="X111" t="s">
        <v>894</v>
      </c>
      <c r="Y111">
        <v>1</v>
      </c>
      <c r="AA111" s="13">
        <f t="shared" si="12"/>
        <v>730000</v>
      </c>
      <c r="AE111" s="102"/>
      <c r="AF111" s="103"/>
      <c r="AG111" s="103"/>
      <c r="AH111" s="103"/>
      <c r="AI111" s="104"/>
      <c r="AJ111" s="104"/>
      <c r="AK111" s="105"/>
      <c r="AL111" s="104"/>
      <c r="AM111" s="106"/>
    </row>
    <row r="112" spans="1:39" ht="45" customHeight="1" thickBot="1">
      <c r="A112" s="108" t="s">
        <v>793</v>
      </c>
      <c r="B112" s="77" t="s">
        <v>794</v>
      </c>
      <c r="C112" s="83" t="s">
        <v>224</v>
      </c>
      <c r="D112" s="109">
        <v>7253</v>
      </c>
      <c r="E112" s="74" t="s">
        <v>809</v>
      </c>
      <c r="F112" s="80" t="s">
        <v>800</v>
      </c>
      <c r="G112" s="74" t="s">
        <v>797</v>
      </c>
      <c r="H112" s="43"/>
      <c r="I112" s="44"/>
      <c r="M112" s="131">
        <v>730000</v>
      </c>
      <c r="N112" s="223">
        <v>338210</v>
      </c>
      <c r="O112" s="132" t="s">
        <v>244</v>
      </c>
      <c r="P112" s="132" t="s">
        <v>245</v>
      </c>
      <c r="Q112" s="133">
        <v>476</v>
      </c>
      <c r="R112" s="132" t="s">
        <v>246</v>
      </c>
      <c r="S112" s="132" t="s">
        <v>10</v>
      </c>
      <c r="T112" s="134">
        <v>42466</v>
      </c>
      <c r="U112" s="172">
        <f t="shared" si="13"/>
        <v>2016</v>
      </c>
      <c r="V112" s="172">
        <f t="shared" si="14"/>
        <v>4</v>
      </c>
      <c r="W112" s="44" t="s">
        <v>265</v>
      </c>
      <c r="X112" t="s">
        <v>894</v>
      </c>
      <c r="Y112">
        <v>1</v>
      </c>
      <c r="AA112" s="13">
        <f t="shared" si="12"/>
        <v>730000</v>
      </c>
      <c r="AE112" s="102"/>
      <c r="AF112" s="103"/>
      <c r="AG112" s="103"/>
      <c r="AH112" s="103"/>
      <c r="AI112" s="104"/>
      <c r="AJ112" s="104"/>
      <c r="AK112" s="105"/>
      <c r="AL112" s="104"/>
      <c r="AM112" s="102"/>
    </row>
    <row r="113" spans="1:39" ht="45" customHeight="1" thickBot="1">
      <c r="A113" s="110"/>
      <c r="B113" s="90" t="s">
        <v>794</v>
      </c>
      <c r="E113" s="114" t="s">
        <v>320</v>
      </c>
      <c r="F113" s="81"/>
      <c r="G113" s="63" t="s">
        <v>798</v>
      </c>
      <c r="H113" s="43"/>
      <c r="I113" s="44"/>
      <c r="M113" s="131">
        <v>732577</v>
      </c>
      <c r="N113" s="223">
        <v>340516</v>
      </c>
      <c r="O113" s="132" t="s">
        <v>244</v>
      </c>
      <c r="P113" s="132" t="s">
        <v>245</v>
      </c>
      <c r="Q113" s="133">
        <v>463</v>
      </c>
      <c r="R113" s="132" t="s">
        <v>246</v>
      </c>
      <c r="S113" s="132" t="s">
        <v>10</v>
      </c>
      <c r="T113" s="134">
        <v>42466</v>
      </c>
      <c r="U113" s="172">
        <f t="shared" si="13"/>
        <v>2016</v>
      </c>
      <c r="V113" s="172">
        <f t="shared" si="14"/>
        <v>4</v>
      </c>
      <c r="W113" s="44" t="s">
        <v>265</v>
      </c>
      <c r="X113" t="s">
        <v>894</v>
      </c>
      <c r="Y113">
        <v>1</v>
      </c>
      <c r="AA113" s="13">
        <f t="shared" si="12"/>
        <v>732577</v>
      </c>
      <c r="AE113" s="102"/>
      <c r="AF113" s="103"/>
      <c r="AG113" s="103"/>
      <c r="AH113" s="103"/>
      <c r="AI113" s="104"/>
      <c r="AJ113" s="104"/>
      <c r="AK113" s="105"/>
      <c r="AL113" s="104"/>
      <c r="AM113" s="102"/>
    </row>
    <row r="114" spans="1:39" ht="45" customHeight="1" thickBot="1">
      <c r="A114" s="112"/>
      <c r="B114" s="90" t="s">
        <v>794</v>
      </c>
      <c r="E114" s="114" t="s">
        <v>321</v>
      </c>
      <c r="F114" s="82"/>
      <c r="G114" s="64" t="s">
        <v>799</v>
      </c>
      <c r="H114" s="43" t="s">
        <v>338</v>
      </c>
      <c r="I114" s="44" t="s">
        <v>340</v>
      </c>
      <c r="M114" s="131">
        <v>741000</v>
      </c>
      <c r="N114" s="223">
        <v>337633</v>
      </c>
      <c r="O114" s="132" t="s">
        <v>244</v>
      </c>
      <c r="P114" s="132" t="s">
        <v>245</v>
      </c>
      <c r="Q114" s="133">
        <v>516</v>
      </c>
      <c r="R114" s="132" t="s">
        <v>246</v>
      </c>
      <c r="S114" s="132" t="s">
        <v>10</v>
      </c>
      <c r="T114" s="134">
        <v>42466</v>
      </c>
      <c r="U114" s="172">
        <f t="shared" si="13"/>
        <v>2016</v>
      </c>
      <c r="V114" s="172">
        <f t="shared" si="14"/>
        <v>4</v>
      </c>
      <c r="W114" s="44" t="s">
        <v>265</v>
      </c>
      <c r="X114" t="s">
        <v>894</v>
      </c>
      <c r="Y114">
        <v>1</v>
      </c>
      <c r="AA114" s="13">
        <f t="shared" si="12"/>
        <v>741000</v>
      </c>
      <c r="AE114" s="102"/>
      <c r="AF114" s="103"/>
      <c r="AG114" s="103"/>
      <c r="AH114" s="103"/>
      <c r="AI114" s="104"/>
      <c r="AJ114" s="104"/>
      <c r="AK114" s="105"/>
      <c r="AL114" s="104"/>
      <c r="AM114" s="102"/>
    </row>
    <row r="115" spans="1:39" ht="45" customHeight="1" thickBot="1">
      <c r="B115" s="90" t="s">
        <v>794</v>
      </c>
      <c r="E115" s="114" t="s">
        <v>323</v>
      </c>
      <c r="M115" s="131">
        <v>741200</v>
      </c>
      <c r="N115" s="223">
        <v>337921</v>
      </c>
      <c r="O115" s="132" t="s">
        <v>244</v>
      </c>
      <c r="P115" s="132" t="s">
        <v>245</v>
      </c>
      <c r="Q115" s="133">
        <v>578</v>
      </c>
      <c r="R115" s="132" t="s">
        <v>246</v>
      </c>
      <c r="S115" s="132" t="s">
        <v>10</v>
      </c>
      <c r="T115" s="134">
        <v>42466</v>
      </c>
      <c r="U115" s="172">
        <f t="shared" si="13"/>
        <v>2016</v>
      </c>
      <c r="V115" s="172">
        <f t="shared" si="14"/>
        <v>4</v>
      </c>
      <c r="W115" s="44" t="s">
        <v>265</v>
      </c>
      <c r="X115" t="s">
        <v>894</v>
      </c>
      <c r="Y115">
        <v>1</v>
      </c>
      <c r="AA115" s="13">
        <f t="shared" si="12"/>
        <v>741200</v>
      </c>
      <c r="AE115" s="102"/>
      <c r="AF115" s="103"/>
      <c r="AG115" s="103"/>
      <c r="AH115" s="103"/>
      <c r="AI115" s="104"/>
      <c r="AJ115" s="104"/>
      <c r="AK115" s="105"/>
      <c r="AL115" s="104"/>
      <c r="AM115" s="102"/>
    </row>
    <row r="116" spans="1:39" ht="45" customHeight="1" thickBot="1">
      <c r="B116" s="90" t="s">
        <v>794</v>
      </c>
      <c r="E116" s="114" t="s">
        <v>322</v>
      </c>
      <c r="M116" s="131">
        <v>741930</v>
      </c>
      <c r="N116" s="223">
        <v>338210</v>
      </c>
      <c r="O116" s="132" t="s">
        <v>244</v>
      </c>
      <c r="P116" s="132" t="s">
        <v>245</v>
      </c>
      <c r="Q116" s="133">
        <v>550</v>
      </c>
      <c r="R116" s="132" t="s">
        <v>246</v>
      </c>
      <c r="S116" s="132" t="s">
        <v>10</v>
      </c>
      <c r="T116" s="134">
        <v>42466</v>
      </c>
      <c r="U116" s="172">
        <f t="shared" si="13"/>
        <v>2016</v>
      </c>
      <c r="V116" s="172">
        <f t="shared" si="14"/>
        <v>4</v>
      </c>
      <c r="W116" s="44" t="s">
        <v>265</v>
      </c>
      <c r="X116" t="s">
        <v>894</v>
      </c>
      <c r="Y116">
        <v>1</v>
      </c>
      <c r="AA116" s="13">
        <f t="shared" si="12"/>
        <v>741930</v>
      </c>
      <c r="AE116" s="102"/>
      <c r="AF116" s="103"/>
      <c r="AG116" s="103"/>
      <c r="AH116" s="103"/>
      <c r="AI116" s="104"/>
      <c r="AJ116" s="104"/>
      <c r="AK116" s="105"/>
      <c r="AL116" s="104"/>
      <c r="AM116" s="102"/>
    </row>
    <row r="117" spans="1:39" ht="45" customHeight="1" thickBot="1">
      <c r="B117" s="90" t="s">
        <v>794</v>
      </c>
      <c r="E117" s="114" t="s">
        <v>319</v>
      </c>
      <c r="M117" s="131">
        <v>742190</v>
      </c>
      <c r="N117" s="223">
        <v>340804</v>
      </c>
      <c r="O117" s="132" t="s">
        <v>244</v>
      </c>
      <c r="P117" s="132" t="s">
        <v>245</v>
      </c>
      <c r="Q117" s="133">
        <v>548</v>
      </c>
      <c r="R117" s="132" t="s">
        <v>246</v>
      </c>
      <c r="S117" s="132" t="s">
        <v>10</v>
      </c>
      <c r="T117" s="134">
        <v>42466</v>
      </c>
      <c r="U117" s="172">
        <f t="shared" si="13"/>
        <v>2016</v>
      </c>
      <c r="V117" s="172">
        <f t="shared" si="14"/>
        <v>4</v>
      </c>
      <c r="W117" s="44" t="s">
        <v>265</v>
      </c>
      <c r="X117" t="s">
        <v>894</v>
      </c>
      <c r="Y117">
        <v>1</v>
      </c>
      <c r="AA117" s="13">
        <f t="shared" si="12"/>
        <v>742190</v>
      </c>
      <c r="AE117" s="102"/>
      <c r="AF117" s="103"/>
      <c r="AG117" s="103"/>
      <c r="AH117" s="103"/>
      <c r="AI117" s="104"/>
      <c r="AJ117" s="104"/>
      <c r="AK117" s="105"/>
      <c r="AL117" s="104"/>
      <c r="AM117" s="102"/>
    </row>
    <row r="118" spans="1:39" ht="45" customHeight="1" thickBot="1">
      <c r="B118" s="91" t="s">
        <v>795</v>
      </c>
      <c r="C118" s="84"/>
      <c r="D118" s="111"/>
      <c r="E118" s="63" t="s">
        <v>810</v>
      </c>
      <c r="M118" s="131">
        <v>743100</v>
      </c>
      <c r="N118" s="223">
        <v>339939</v>
      </c>
      <c r="O118" s="132" t="s">
        <v>244</v>
      </c>
      <c r="P118" s="132" t="s">
        <v>245</v>
      </c>
      <c r="Q118" s="133">
        <v>541</v>
      </c>
      <c r="R118" s="132" t="s">
        <v>246</v>
      </c>
      <c r="S118" s="132" t="s">
        <v>10</v>
      </c>
      <c r="T118" s="134">
        <v>42466</v>
      </c>
      <c r="U118" s="172">
        <f t="shared" si="13"/>
        <v>2016</v>
      </c>
      <c r="V118" s="172">
        <f t="shared" si="14"/>
        <v>4</v>
      </c>
      <c r="W118" s="44" t="s">
        <v>265</v>
      </c>
      <c r="X118" t="s">
        <v>894</v>
      </c>
      <c r="Y118">
        <v>1</v>
      </c>
      <c r="AA118" s="13">
        <f t="shared" si="12"/>
        <v>743100</v>
      </c>
      <c r="AE118" s="102"/>
      <c r="AF118" s="103"/>
      <c r="AG118" s="103"/>
      <c r="AH118" s="103"/>
      <c r="AI118" s="104"/>
      <c r="AJ118" s="104"/>
      <c r="AK118" s="105"/>
      <c r="AL118" s="104"/>
      <c r="AM118" s="102"/>
    </row>
    <row r="119" spans="1:39" ht="45" customHeight="1" thickBot="1">
      <c r="B119" s="92" t="s">
        <v>796</v>
      </c>
      <c r="C119" s="85"/>
      <c r="D119" s="113"/>
      <c r="E119" s="64" t="s">
        <v>811</v>
      </c>
      <c r="M119" s="131">
        <v>745000</v>
      </c>
      <c r="N119" s="223">
        <v>339074</v>
      </c>
      <c r="O119" s="132" t="s">
        <v>244</v>
      </c>
      <c r="P119" s="132" t="s">
        <v>245</v>
      </c>
      <c r="Q119" s="133">
        <v>594</v>
      </c>
      <c r="R119" s="132" t="s">
        <v>246</v>
      </c>
      <c r="S119" s="132" t="s">
        <v>10</v>
      </c>
      <c r="T119" s="134">
        <v>42466</v>
      </c>
      <c r="U119" s="172">
        <f t="shared" si="13"/>
        <v>2016</v>
      </c>
      <c r="V119" s="172">
        <f t="shared" si="14"/>
        <v>4</v>
      </c>
      <c r="W119" s="44" t="s">
        <v>265</v>
      </c>
      <c r="X119" t="s">
        <v>894</v>
      </c>
      <c r="Y119">
        <v>1</v>
      </c>
      <c r="AA119" s="13">
        <f t="shared" si="12"/>
        <v>745000</v>
      </c>
      <c r="AE119" s="102"/>
      <c r="AF119" s="103"/>
      <c r="AG119" s="103"/>
      <c r="AH119" s="103"/>
      <c r="AI119" s="104"/>
      <c r="AJ119" s="104"/>
      <c r="AK119" s="105"/>
      <c r="AL119" s="104"/>
      <c r="AM119" s="102"/>
    </row>
    <row r="120" spans="1:39" ht="45" customHeight="1" thickBot="1">
      <c r="B120" s="70" t="s">
        <v>796</v>
      </c>
      <c r="C120" s="85"/>
      <c r="D120" s="113"/>
      <c r="E120" s="114" t="s">
        <v>327</v>
      </c>
      <c r="M120" s="131">
        <v>745555</v>
      </c>
      <c r="N120" s="223">
        <v>332732</v>
      </c>
      <c r="O120" s="132" t="s">
        <v>244</v>
      </c>
      <c r="P120" s="132" t="s">
        <v>245</v>
      </c>
      <c r="Q120" s="133">
        <v>498</v>
      </c>
      <c r="R120" s="132" t="s">
        <v>246</v>
      </c>
      <c r="S120" s="132" t="s">
        <v>10</v>
      </c>
      <c r="T120" s="134">
        <v>42466</v>
      </c>
      <c r="U120" s="172">
        <f t="shared" si="13"/>
        <v>2016</v>
      </c>
      <c r="V120" s="172">
        <f t="shared" si="14"/>
        <v>4</v>
      </c>
      <c r="W120" s="44" t="s">
        <v>265</v>
      </c>
      <c r="X120" t="s">
        <v>894</v>
      </c>
      <c r="Y120">
        <v>1</v>
      </c>
      <c r="AA120" s="13">
        <f t="shared" si="12"/>
        <v>745555</v>
      </c>
      <c r="AE120" s="102"/>
      <c r="AF120" s="103"/>
      <c r="AG120" s="103"/>
      <c r="AH120" s="103"/>
      <c r="AI120" s="104"/>
      <c r="AJ120" s="104"/>
      <c r="AK120" s="105"/>
      <c r="AL120" s="104"/>
      <c r="AM120" s="102"/>
    </row>
    <row r="121" spans="1:39" ht="30" customHeight="1" thickBot="1">
      <c r="E121" s="114" t="s">
        <v>325</v>
      </c>
      <c r="M121" s="131">
        <v>750000</v>
      </c>
      <c r="N121" s="223">
        <v>338498</v>
      </c>
      <c r="O121" s="132" t="s">
        <v>244</v>
      </c>
      <c r="P121" s="132" t="s">
        <v>245</v>
      </c>
      <c r="Q121" s="133">
        <v>589</v>
      </c>
      <c r="R121" s="132" t="s">
        <v>246</v>
      </c>
      <c r="S121" s="132" t="s">
        <v>10</v>
      </c>
      <c r="T121" s="134">
        <v>42466</v>
      </c>
      <c r="U121" s="172">
        <f t="shared" si="13"/>
        <v>2016</v>
      </c>
      <c r="V121" s="172">
        <f t="shared" si="14"/>
        <v>4</v>
      </c>
      <c r="W121" s="44" t="s">
        <v>265</v>
      </c>
      <c r="X121" t="s">
        <v>894</v>
      </c>
      <c r="Y121">
        <v>1</v>
      </c>
      <c r="AA121" s="13">
        <f t="shared" si="12"/>
        <v>750000</v>
      </c>
      <c r="AE121" s="102"/>
      <c r="AF121" s="103"/>
      <c r="AG121" s="103"/>
      <c r="AH121" s="103"/>
      <c r="AI121" s="104"/>
      <c r="AJ121" s="104"/>
      <c r="AK121" s="105"/>
      <c r="AL121" s="104"/>
      <c r="AM121" s="102"/>
    </row>
    <row r="122" spans="1:39" ht="15" customHeight="1" thickBot="1">
      <c r="A122" s="108" t="s">
        <v>801</v>
      </c>
      <c r="B122" s="80" t="s">
        <v>802</v>
      </c>
      <c r="C122" s="83" t="s">
        <v>223</v>
      </c>
      <c r="D122" s="83" t="s">
        <v>803</v>
      </c>
      <c r="E122" s="77" t="s">
        <v>804</v>
      </c>
      <c r="F122" s="77" t="s">
        <v>161</v>
      </c>
      <c r="G122" s="77" t="s">
        <v>804</v>
      </c>
      <c r="M122" s="131">
        <v>750000</v>
      </c>
      <c r="N122" s="223">
        <v>341669</v>
      </c>
      <c r="O122" s="132" t="s">
        <v>244</v>
      </c>
      <c r="P122" s="132" t="s">
        <v>245</v>
      </c>
      <c r="Q122" s="133">
        <v>535</v>
      </c>
      <c r="R122" s="132" t="s">
        <v>246</v>
      </c>
      <c r="S122" s="132" t="s">
        <v>10</v>
      </c>
      <c r="T122" s="134">
        <v>42466</v>
      </c>
      <c r="U122" s="172">
        <f t="shared" si="13"/>
        <v>2016</v>
      </c>
      <c r="V122" s="172">
        <f t="shared" si="14"/>
        <v>4</v>
      </c>
      <c r="W122" s="44" t="s">
        <v>265</v>
      </c>
      <c r="X122" t="s">
        <v>894</v>
      </c>
      <c r="Y122">
        <v>1</v>
      </c>
      <c r="AA122" s="13">
        <f t="shared" si="12"/>
        <v>750000</v>
      </c>
      <c r="AE122" s="102"/>
      <c r="AF122" s="103"/>
      <c r="AG122" s="103"/>
      <c r="AH122" s="103"/>
      <c r="AI122" s="104"/>
      <c r="AJ122" s="104"/>
      <c r="AK122" s="105"/>
      <c r="AL122" s="104"/>
      <c r="AM122" s="102"/>
    </row>
    <row r="123" spans="1:39" ht="15" customHeight="1" thickBot="1">
      <c r="A123" s="110"/>
      <c r="B123" s="81"/>
      <c r="C123" s="84"/>
      <c r="D123" s="84"/>
      <c r="E123" s="75" t="s">
        <v>805</v>
      </c>
      <c r="F123" s="75" t="s">
        <v>158</v>
      </c>
      <c r="G123" s="75" t="s">
        <v>805</v>
      </c>
      <c r="M123" s="131">
        <v>750100</v>
      </c>
      <c r="N123" s="223">
        <v>340228</v>
      </c>
      <c r="O123" s="132" t="s">
        <v>244</v>
      </c>
      <c r="P123" s="132" t="s">
        <v>245</v>
      </c>
      <c r="Q123" s="133">
        <v>543</v>
      </c>
      <c r="R123" s="132" t="s">
        <v>246</v>
      </c>
      <c r="S123" s="132" t="s">
        <v>10</v>
      </c>
      <c r="T123" s="134">
        <v>42466</v>
      </c>
      <c r="U123" s="172">
        <f t="shared" si="13"/>
        <v>2016</v>
      </c>
      <c r="V123" s="172">
        <f t="shared" si="14"/>
        <v>4</v>
      </c>
      <c r="W123" s="44" t="s">
        <v>265</v>
      </c>
      <c r="X123" t="s">
        <v>894</v>
      </c>
      <c r="Y123">
        <v>1</v>
      </c>
      <c r="AA123" s="13">
        <f t="shared" si="12"/>
        <v>750100</v>
      </c>
      <c r="AE123" s="102"/>
      <c r="AF123" s="103"/>
      <c r="AG123" s="103"/>
      <c r="AH123" s="103"/>
      <c r="AI123" s="104"/>
      <c r="AJ123" s="104"/>
      <c r="AK123" s="105"/>
      <c r="AL123" s="104"/>
      <c r="AM123" s="102"/>
    </row>
    <row r="124" spans="1:39" ht="15" customHeight="1" thickBot="1">
      <c r="A124" s="110"/>
      <c r="B124" s="81"/>
      <c r="C124" s="84"/>
      <c r="D124" s="84"/>
      <c r="E124" s="75" t="s">
        <v>380</v>
      </c>
      <c r="F124" s="75" t="s">
        <v>160</v>
      </c>
      <c r="G124" s="75" t="s">
        <v>380</v>
      </c>
      <c r="M124" s="131">
        <v>760000</v>
      </c>
      <c r="N124" s="223">
        <v>337633</v>
      </c>
      <c r="O124" s="132" t="s">
        <v>244</v>
      </c>
      <c r="P124" s="132" t="s">
        <v>245</v>
      </c>
      <c r="Q124" s="133">
        <v>582</v>
      </c>
      <c r="R124" s="132" t="s">
        <v>246</v>
      </c>
      <c r="S124" s="132" t="s">
        <v>10</v>
      </c>
      <c r="T124" s="134">
        <v>42466</v>
      </c>
      <c r="U124" s="172">
        <f t="shared" si="13"/>
        <v>2016</v>
      </c>
      <c r="V124" s="172">
        <f t="shared" si="14"/>
        <v>4</v>
      </c>
      <c r="W124" s="44" t="s">
        <v>265</v>
      </c>
      <c r="X124" t="s">
        <v>894</v>
      </c>
      <c r="Y124">
        <v>1</v>
      </c>
      <c r="AA124" s="13">
        <f t="shared" si="12"/>
        <v>760000</v>
      </c>
      <c r="AE124" s="102"/>
      <c r="AF124" s="103"/>
      <c r="AG124" s="103"/>
      <c r="AH124" s="103"/>
      <c r="AI124" s="104"/>
      <c r="AJ124" s="104"/>
      <c r="AK124" s="105"/>
      <c r="AL124" s="104"/>
      <c r="AM124" s="102"/>
    </row>
    <row r="125" spans="1:39" ht="15" customHeight="1" thickBot="1">
      <c r="A125" s="112"/>
      <c r="B125" s="82"/>
      <c r="C125" s="85"/>
      <c r="D125" s="85"/>
      <c r="E125" s="70"/>
      <c r="F125" s="76" t="s">
        <v>159</v>
      </c>
      <c r="G125" s="70"/>
      <c r="M125" s="131">
        <v>761000</v>
      </c>
      <c r="N125" s="223">
        <v>222132</v>
      </c>
      <c r="O125" s="132" t="s">
        <v>244</v>
      </c>
      <c r="P125" s="132" t="s">
        <v>245</v>
      </c>
      <c r="Q125" s="133">
        <v>436</v>
      </c>
      <c r="R125" s="132" t="s">
        <v>246</v>
      </c>
      <c r="S125" s="132" t="s">
        <v>10</v>
      </c>
      <c r="T125" s="134">
        <v>42050</v>
      </c>
      <c r="U125" s="172">
        <f t="shared" si="13"/>
        <v>2015</v>
      </c>
      <c r="V125" s="172">
        <f t="shared" si="14"/>
        <v>2</v>
      </c>
      <c r="W125" s="44" t="s">
        <v>269</v>
      </c>
      <c r="X125" t="s">
        <v>894</v>
      </c>
      <c r="Y125">
        <v>1</v>
      </c>
      <c r="AA125" s="13">
        <f t="shared" si="12"/>
        <v>761000</v>
      </c>
      <c r="AE125" s="102"/>
      <c r="AF125" s="103"/>
      <c r="AG125" s="103"/>
      <c r="AH125" s="103"/>
      <c r="AI125" s="104"/>
      <c r="AJ125" s="104"/>
      <c r="AK125" s="105"/>
      <c r="AL125" s="104"/>
      <c r="AM125" s="102"/>
    </row>
    <row r="126" spans="1:39" ht="15" customHeight="1" thickBot="1">
      <c r="A126" s="65" t="s">
        <v>806</v>
      </c>
      <c r="B126" s="66"/>
      <c r="C126" s="66"/>
      <c r="D126" s="67">
        <v>158228</v>
      </c>
      <c r="E126" s="66"/>
      <c r="F126" s="41"/>
      <c r="M126" s="131">
        <v>769271</v>
      </c>
      <c r="N126" s="223">
        <v>335327</v>
      </c>
      <c r="O126" s="132" t="s">
        <v>244</v>
      </c>
      <c r="P126" s="132" t="s">
        <v>245</v>
      </c>
      <c r="Q126" s="133">
        <v>593</v>
      </c>
      <c r="R126" s="132" t="s">
        <v>246</v>
      </c>
      <c r="S126" s="132" t="s">
        <v>10</v>
      </c>
      <c r="T126" s="134">
        <v>42466</v>
      </c>
      <c r="U126" s="172">
        <f t="shared" si="13"/>
        <v>2016</v>
      </c>
      <c r="V126" s="172">
        <f t="shared" si="14"/>
        <v>4</v>
      </c>
      <c r="W126" s="44" t="s">
        <v>265</v>
      </c>
      <c r="X126" t="s">
        <v>894</v>
      </c>
      <c r="Y126">
        <v>1</v>
      </c>
      <c r="AA126" s="13">
        <f t="shared" si="12"/>
        <v>769271</v>
      </c>
      <c r="AE126" s="102"/>
      <c r="AF126" s="103"/>
      <c r="AG126" s="103"/>
      <c r="AH126" s="103"/>
      <c r="AI126" s="104"/>
      <c r="AJ126" s="104"/>
      <c r="AK126" s="105"/>
      <c r="AL126" s="104"/>
      <c r="AM126" s="102"/>
    </row>
    <row r="127" spans="1:39" ht="15" customHeight="1" thickBot="1">
      <c r="M127" s="131">
        <v>777000</v>
      </c>
      <c r="N127" s="223">
        <v>333308</v>
      </c>
      <c r="O127" s="132" t="s">
        <v>244</v>
      </c>
      <c r="P127" s="132" t="s">
        <v>245</v>
      </c>
      <c r="Q127" s="133">
        <v>577</v>
      </c>
      <c r="R127" s="132" t="s">
        <v>246</v>
      </c>
      <c r="S127" s="132" t="s">
        <v>10</v>
      </c>
      <c r="T127" s="134">
        <v>42466</v>
      </c>
      <c r="U127" s="172">
        <f t="shared" si="13"/>
        <v>2016</v>
      </c>
      <c r="V127" s="172">
        <f t="shared" si="14"/>
        <v>4</v>
      </c>
      <c r="W127" s="44" t="s">
        <v>265</v>
      </c>
      <c r="X127" t="s">
        <v>894</v>
      </c>
      <c r="Y127">
        <v>1</v>
      </c>
      <c r="AA127" s="13">
        <f t="shared" si="12"/>
        <v>777000</v>
      </c>
      <c r="AE127" s="102"/>
      <c r="AF127" s="103"/>
      <c r="AG127" s="103"/>
      <c r="AH127" s="103"/>
      <c r="AI127" s="104"/>
      <c r="AJ127" s="104"/>
      <c r="AK127" s="105"/>
      <c r="AL127" s="104"/>
      <c r="AM127" s="102"/>
    </row>
    <row r="128" spans="1:39" ht="15" customHeight="1" thickBot="1">
      <c r="M128" s="131">
        <v>781000</v>
      </c>
      <c r="N128" s="223">
        <v>337921</v>
      </c>
      <c r="O128" s="132" t="s">
        <v>244</v>
      </c>
      <c r="P128" s="132" t="s">
        <v>245</v>
      </c>
      <c r="Q128" s="133">
        <v>579</v>
      </c>
      <c r="R128" s="132" t="s">
        <v>246</v>
      </c>
      <c r="S128" s="132" t="s">
        <v>10</v>
      </c>
      <c r="T128" s="134">
        <v>42466</v>
      </c>
      <c r="U128" s="172">
        <f t="shared" si="13"/>
        <v>2016</v>
      </c>
      <c r="V128" s="172">
        <f t="shared" si="14"/>
        <v>4</v>
      </c>
      <c r="W128" s="44" t="s">
        <v>265</v>
      </c>
      <c r="X128" t="s">
        <v>894</v>
      </c>
      <c r="Y128">
        <v>1</v>
      </c>
      <c r="AA128" s="13">
        <f t="shared" si="12"/>
        <v>781000</v>
      </c>
      <c r="AE128" s="102"/>
      <c r="AF128" s="103"/>
      <c r="AG128" s="103"/>
      <c r="AH128" s="103"/>
      <c r="AI128" s="104"/>
      <c r="AJ128" s="104"/>
      <c r="AK128" s="105"/>
      <c r="AL128" s="104"/>
      <c r="AM128" s="102"/>
    </row>
    <row r="129" spans="13:39" ht="15" customHeight="1" thickBot="1">
      <c r="M129" s="131">
        <v>783000</v>
      </c>
      <c r="N129" s="223">
        <v>345994</v>
      </c>
      <c r="O129" s="132" t="s">
        <v>244</v>
      </c>
      <c r="P129" s="132" t="s">
        <v>245</v>
      </c>
      <c r="Q129" s="133">
        <v>580</v>
      </c>
      <c r="R129" s="132" t="s">
        <v>246</v>
      </c>
      <c r="S129" s="132" t="s">
        <v>10</v>
      </c>
      <c r="T129" s="134">
        <v>42466</v>
      </c>
      <c r="U129" s="172">
        <f t="shared" si="13"/>
        <v>2016</v>
      </c>
      <c r="V129" s="172">
        <f t="shared" si="14"/>
        <v>4</v>
      </c>
      <c r="W129" s="44" t="s">
        <v>265</v>
      </c>
      <c r="X129" t="s">
        <v>894</v>
      </c>
      <c r="Y129">
        <v>1</v>
      </c>
      <c r="AA129" s="13">
        <f t="shared" si="12"/>
        <v>783000</v>
      </c>
      <c r="AE129" s="102"/>
      <c r="AF129" s="103"/>
      <c r="AG129" s="103"/>
      <c r="AH129" s="103"/>
      <c r="AI129" s="104"/>
      <c r="AJ129" s="104"/>
      <c r="AK129" s="105"/>
      <c r="AL129" s="104"/>
      <c r="AM129" s="106"/>
    </row>
    <row r="130" spans="13:39" ht="15" customHeight="1" thickBot="1">
      <c r="M130" s="131">
        <v>792100</v>
      </c>
      <c r="N130" s="223">
        <v>340228</v>
      </c>
      <c r="O130" s="132" t="s">
        <v>244</v>
      </c>
      <c r="P130" s="132" t="s">
        <v>245</v>
      </c>
      <c r="Q130" s="133">
        <v>540</v>
      </c>
      <c r="R130" s="132" t="s">
        <v>246</v>
      </c>
      <c r="S130" s="132" t="s">
        <v>10</v>
      </c>
      <c r="T130" s="134">
        <v>42466</v>
      </c>
      <c r="U130" s="172">
        <f t="shared" si="13"/>
        <v>2016</v>
      </c>
      <c r="V130" s="172">
        <f t="shared" si="14"/>
        <v>4</v>
      </c>
      <c r="W130" s="44" t="s">
        <v>265</v>
      </c>
      <c r="X130" t="s">
        <v>894</v>
      </c>
      <c r="Y130">
        <v>1</v>
      </c>
      <c r="AA130" s="13">
        <f t="shared" si="12"/>
        <v>792100</v>
      </c>
      <c r="AE130" s="102"/>
      <c r="AF130" s="103"/>
      <c r="AG130" s="103"/>
      <c r="AH130" s="103"/>
      <c r="AI130" s="104"/>
      <c r="AJ130" s="104"/>
      <c r="AK130" s="105"/>
      <c r="AL130" s="104"/>
      <c r="AM130" s="102"/>
    </row>
    <row r="131" spans="13:39" ht="15" customHeight="1" thickBot="1">
      <c r="M131" s="131">
        <v>805555</v>
      </c>
      <c r="N131" s="222">
        <v>352048</v>
      </c>
      <c r="O131" s="132" t="s">
        <v>244</v>
      </c>
      <c r="P131" s="132" t="s">
        <v>245</v>
      </c>
      <c r="Q131" s="133">
        <v>518</v>
      </c>
      <c r="R131" s="132" t="s">
        <v>246</v>
      </c>
      <c r="S131" s="132" t="s">
        <v>10</v>
      </c>
      <c r="T131" s="134">
        <v>42466</v>
      </c>
      <c r="U131" s="172">
        <f t="shared" si="13"/>
        <v>2016</v>
      </c>
      <c r="V131" s="172">
        <f t="shared" si="14"/>
        <v>4</v>
      </c>
      <c r="W131" s="44" t="s">
        <v>265</v>
      </c>
      <c r="X131" t="s">
        <v>894</v>
      </c>
      <c r="Y131">
        <v>1</v>
      </c>
      <c r="AA131" s="13">
        <f t="shared" si="12"/>
        <v>805555</v>
      </c>
      <c r="AE131" s="102"/>
      <c r="AF131" s="103"/>
      <c r="AG131" s="103"/>
      <c r="AH131" s="103"/>
      <c r="AI131" s="104"/>
      <c r="AJ131" s="104"/>
      <c r="AK131" s="105"/>
      <c r="AL131" s="104"/>
      <c r="AM131" s="102"/>
    </row>
    <row r="132" spans="13:39" ht="15" customHeight="1" thickBot="1">
      <c r="M132" s="131">
        <v>821679</v>
      </c>
      <c r="N132" s="222">
        <v>349165</v>
      </c>
      <c r="O132" s="132" t="s">
        <v>244</v>
      </c>
      <c r="P132" s="132" t="s">
        <v>245</v>
      </c>
      <c r="Q132" s="133">
        <v>549</v>
      </c>
      <c r="R132" s="132" t="s">
        <v>246</v>
      </c>
      <c r="S132" s="132" t="s">
        <v>10</v>
      </c>
      <c r="T132" s="134">
        <v>42466</v>
      </c>
      <c r="U132" s="172">
        <f t="shared" si="13"/>
        <v>2016</v>
      </c>
      <c r="V132" s="172">
        <f t="shared" si="14"/>
        <v>4</v>
      </c>
      <c r="W132" s="44" t="s">
        <v>265</v>
      </c>
      <c r="X132" t="s">
        <v>894</v>
      </c>
      <c r="Y132">
        <v>1</v>
      </c>
      <c r="AA132" s="13">
        <f t="shared" ref="AA132:AA195" si="15">IF(M132&lt;30000,Y132*100*M132*(1-$L$1)-$L$2*Y132,M132)</f>
        <v>821679</v>
      </c>
      <c r="AE132" s="102"/>
      <c r="AF132" s="103"/>
      <c r="AG132" s="103"/>
      <c r="AH132" s="103"/>
      <c r="AI132" s="104"/>
      <c r="AJ132" s="104"/>
      <c r="AK132" s="105"/>
      <c r="AL132" s="104"/>
      <c r="AM132" s="102"/>
    </row>
    <row r="133" spans="13:39" ht="15" customHeight="1" thickBot="1">
      <c r="M133" s="131">
        <v>825555</v>
      </c>
      <c r="N133" s="223">
        <v>340228</v>
      </c>
      <c r="O133" s="132" t="s">
        <v>244</v>
      </c>
      <c r="P133" s="132" t="s">
        <v>245</v>
      </c>
      <c r="Q133" s="133">
        <v>461</v>
      </c>
      <c r="R133" s="132" t="s">
        <v>246</v>
      </c>
      <c r="S133" s="132" t="s">
        <v>10</v>
      </c>
      <c r="T133" s="134">
        <v>42466</v>
      </c>
      <c r="U133" s="172">
        <f t="shared" si="13"/>
        <v>2016</v>
      </c>
      <c r="V133" s="172">
        <f t="shared" si="14"/>
        <v>4</v>
      </c>
      <c r="W133" s="44" t="s">
        <v>265</v>
      </c>
      <c r="X133" t="s">
        <v>894</v>
      </c>
      <c r="Y133">
        <v>1</v>
      </c>
      <c r="AA133" s="13">
        <f t="shared" si="15"/>
        <v>825555</v>
      </c>
      <c r="AE133" s="102"/>
      <c r="AF133" s="103"/>
      <c r="AG133" s="103"/>
      <c r="AH133" s="103"/>
      <c r="AI133" s="104"/>
      <c r="AJ133" s="104"/>
      <c r="AK133" s="105"/>
      <c r="AL133" s="104"/>
      <c r="AM133" s="102"/>
    </row>
    <row r="134" spans="13:39" ht="15" customHeight="1" thickBot="1">
      <c r="M134" s="131">
        <v>826990</v>
      </c>
      <c r="N134" s="223">
        <v>340228</v>
      </c>
      <c r="O134" s="132" t="s">
        <v>244</v>
      </c>
      <c r="P134" s="132" t="s">
        <v>245</v>
      </c>
      <c r="Q134" s="133">
        <v>462</v>
      </c>
      <c r="R134" s="132" t="s">
        <v>246</v>
      </c>
      <c r="S134" s="132" t="s">
        <v>10</v>
      </c>
      <c r="T134" s="134">
        <v>42466</v>
      </c>
      <c r="U134" s="172">
        <f t="shared" si="13"/>
        <v>2016</v>
      </c>
      <c r="V134" s="172">
        <f t="shared" si="14"/>
        <v>4</v>
      </c>
      <c r="W134" s="44" t="s">
        <v>265</v>
      </c>
      <c r="X134" t="s">
        <v>894</v>
      </c>
      <c r="Y134">
        <v>1</v>
      </c>
      <c r="AA134" s="13">
        <f t="shared" si="15"/>
        <v>826990</v>
      </c>
      <c r="AE134" s="102"/>
      <c r="AF134" s="103"/>
      <c r="AG134" s="103"/>
      <c r="AH134" s="103"/>
      <c r="AI134" s="104"/>
      <c r="AJ134" s="104"/>
      <c r="AK134" s="105"/>
      <c r="AL134" s="104"/>
      <c r="AM134" s="102"/>
    </row>
    <row r="135" spans="13:39" ht="15" customHeight="1" thickBot="1">
      <c r="M135" s="131">
        <v>830000</v>
      </c>
      <c r="N135" s="223">
        <v>333308</v>
      </c>
      <c r="O135" s="132" t="s">
        <v>244</v>
      </c>
      <c r="P135" s="132" t="s">
        <v>245</v>
      </c>
      <c r="Q135" s="133">
        <v>574</v>
      </c>
      <c r="R135" s="132" t="s">
        <v>246</v>
      </c>
      <c r="S135" s="132" t="s">
        <v>10</v>
      </c>
      <c r="T135" s="134">
        <v>42466</v>
      </c>
      <c r="U135" s="172">
        <f t="shared" ref="U135:U198" si="16">YEAR($T135)</f>
        <v>2016</v>
      </c>
      <c r="V135" s="172">
        <f t="shared" ref="V135:V198" si="17">MONTH($T135)</f>
        <v>4</v>
      </c>
      <c r="W135" s="44" t="s">
        <v>265</v>
      </c>
      <c r="X135" t="s">
        <v>894</v>
      </c>
      <c r="Y135">
        <v>1</v>
      </c>
      <c r="AA135" s="13">
        <f t="shared" si="15"/>
        <v>830000</v>
      </c>
      <c r="AE135" s="102"/>
      <c r="AF135" s="103"/>
      <c r="AG135" s="103"/>
      <c r="AH135" s="103"/>
      <c r="AI135" s="104"/>
      <c r="AJ135" s="104"/>
      <c r="AK135" s="105"/>
      <c r="AL135" s="104"/>
      <c r="AM135" s="102"/>
    </row>
    <row r="136" spans="13:39" ht="15" customHeight="1" thickBot="1">
      <c r="M136" s="131">
        <v>861000</v>
      </c>
      <c r="N136" s="222">
        <v>352913</v>
      </c>
      <c r="O136" s="132" t="s">
        <v>244</v>
      </c>
      <c r="P136" s="132" t="s">
        <v>245</v>
      </c>
      <c r="Q136" s="133">
        <v>581</v>
      </c>
      <c r="R136" s="132" t="s">
        <v>246</v>
      </c>
      <c r="S136" s="132" t="s">
        <v>10</v>
      </c>
      <c r="T136" s="134">
        <v>42466</v>
      </c>
      <c r="U136" s="172">
        <f t="shared" si="16"/>
        <v>2016</v>
      </c>
      <c r="V136" s="172">
        <f t="shared" si="17"/>
        <v>4</v>
      </c>
      <c r="W136" s="44" t="s">
        <v>265</v>
      </c>
      <c r="X136" t="s">
        <v>894</v>
      </c>
      <c r="Y136">
        <v>1</v>
      </c>
      <c r="AA136" s="13">
        <f t="shared" si="15"/>
        <v>861000</v>
      </c>
      <c r="AE136" s="102"/>
      <c r="AF136" s="103"/>
      <c r="AG136" s="103"/>
      <c r="AH136" s="103"/>
      <c r="AI136" s="104"/>
      <c r="AJ136" s="104"/>
      <c r="AK136" s="105"/>
      <c r="AL136" s="104"/>
      <c r="AM136" s="102"/>
    </row>
    <row r="137" spans="13:39" ht="15" customHeight="1" thickBot="1">
      <c r="M137" s="131">
        <v>888888</v>
      </c>
      <c r="N137" s="222">
        <v>13983700</v>
      </c>
      <c r="O137" s="132" t="s">
        <v>248</v>
      </c>
      <c r="P137" s="132" t="s">
        <v>245</v>
      </c>
      <c r="Q137" s="133">
        <v>22515</v>
      </c>
      <c r="R137" s="132" t="s">
        <v>267</v>
      </c>
      <c r="S137" s="132" t="s">
        <v>10</v>
      </c>
      <c r="T137" s="134">
        <v>42064</v>
      </c>
      <c r="U137" s="172">
        <f t="shared" si="16"/>
        <v>2015</v>
      </c>
      <c r="V137" s="172">
        <f t="shared" si="17"/>
        <v>3</v>
      </c>
      <c r="W137" s="44" t="s">
        <v>268</v>
      </c>
      <c r="X137" t="s">
        <v>894</v>
      </c>
      <c r="Y137">
        <v>92</v>
      </c>
      <c r="AA137" s="13">
        <f t="shared" si="15"/>
        <v>888888</v>
      </c>
      <c r="AE137" s="102"/>
      <c r="AF137" s="103"/>
      <c r="AG137" s="103"/>
      <c r="AH137" s="103"/>
      <c r="AI137" s="104"/>
      <c r="AJ137" s="104"/>
      <c r="AK137" s="105"/>
      <c r="AL137" s="104"/>
      <c r="AM137" s="102"/>
    </row>
    <row r="138" spans="13:39" ht="15" customHeight="1" thickBot="1">
      <c r="M138" s="131">
        <v>934180</v>
      </c>
      <c r="N138" s="222">
        <v>357526</v>
      </c>
      <c r="O138" s="132" t="s">
        <v>244</v>
      </c>
      <c r="P138" s="132" t="s">
        <v>245</v>
      </c>
      <c r="Q138" s="133">
        <v>533</v>
      </c>
      <c r="R138" s="132" t="s">
        <v>246</v>
      </c>
      <c r="S138" s="132" t="s">
        <v>10</v>
      </c>
      <c r="T138" s="134">
        <v>42466</v>
      </c>
      <c r="U138" s="172">
        <f t="shared" si="16"/>
        <v>2016</v>
      </c>
      <c r="V138" s="172">
        <f t="shared" si="17"/>
        <v>4</v>
      </c>
      <c r="W138" s="44" t="s">
        <v>265</v>
      </c>
      <c r="X138" t="s">
        <v>894</v>
      </c>
      <c r="Y138">
        <v>1</v>
      </c>
      <c r="AA138" s="13">
        <f t="shared" si="15"/>
        <v>934180</v>
      </c>
      <c r="AE138" s="102"/>
      <c r="AF138" s="103"/>
      <c r="AG138" s="103"/>
      <c r="AH138" s="103"/>
      <c r="AI138" s="104"/>
      <c r="AJ138" s="104"/>
      <c r="AK138" s="105"/>
      <c r="AL138" s="104"/>
      <c r="AM138" s="102"/>
    </row>
    <row r="139" spans="13:39" ht="15" customHeight="1" thickBot="1">
      <c r="M139" s="131">
        <v>936018</v>
      </c>
      <c r="N139" s="223">
        <v>12902151</v>
      </c>
      <c r="O139" s="132" t="s">
        <v>248</v>
      </c>
      <c r="P139" s="132" t="s">
        <v>245</v>
      </c>
      <c r="Q139" s="133">
        <v>22530</v>
      </c>
      <c r="R139" s="132" t="s">
        <v>10</v>
      </c>
      <c r="S139" s="132" t="s">
        <v>10</v>
      </c>
      <c r="T139" s="134">
        <v>42204</v>
      </c>
      <c r="U139" s="172">
        <f t="shared" si="16"/>
        <v>2015</v>
      </c>
      <c r="V139" s="172">
        <f t="shared" si="17"/>
        <v>7</v>
      </c>
      <c r="W139" s="44" t="s">
        <v>266</v>
      </c>
      <c r="X139" t="s">
        <v>894</v>
      </c>
      <c r="Y139">
        <v>78</v>
      </c>
      <c r="AA139" s="13">
        <f t="shared" si="15"/>
        <v>936018</v>
      </c>
      <c r="AE139" s="102"/>
      <c r="AF139" s="103"/>
      <c r="AG139" s="103"/>
      <c r="AH139" s="103"/>
      <c r="AI139" s="104"/>
      <c r="AJ139" s="104"/>
      <c r="AK139" s="105"/>
      <c r="AL139" s="104"/>
      <c r="AM139" s="102"/>
    </row>
    <row r="140" spans="13:39" ht="15" customHeight="1" thickBot="1">
      <c r="M140" s="131">
        <v>946260</v>
      </c>
      <c r="N140" s="223">
        <v>13801199</v>
      </c>
      <c r="O140" s="132" t="s">
        <v>248</v>
      </c>
      <c r="P140" s="132" t="s">
        <v>245</v>
      </c>
      <c r="Q140" s="133">
        <v>22531</v>
      </c>
      <c r="R140" s="132" t="s">
        <v>10</v>
      </c>
      <c r="S140" s="132" t="s">
        <v>10</v>
      </c>
      <c r="T140" s="134">
        <v>42204</v>
      </c>
      <c r="U140" s="172">
        <f t="shared" si="16"/>
        <v>2015</v>
      </c>
      <c r="V140" s="172">
        <f t="shared" si="17"/>
        <v>7</v>
      </c>
      <c r="W140" s="44" t="s">
        <v>266</v>
      </c>
      <c r="X140" t="s">
        <v>894</v>
      </c>
      <c r="Y140">
        <v>86</v>
      </c>
      <c r="AA140" s="13">
        <f t="shared" si="15"/>
        <v>946260</v>
      </c>
      <c r="AE140" s="102"/>
      <c r="AF140" s="103"/>
      <c r="AG140" s="103"/>
      <c r="AH140" s="103"/>
      <c r="AI140" s="104"/>
      <c r="AJ140" s="104"/>
      <c r="AK140" s="105"/>
      <c r="AL140" s="104"/>
      <c r="AM140" s="102"/>
    </row>
    <row r="141" spans="13:39" ht="15" customHeight="1" thickBot="1">
      <c r="M141" s="131">
        <v>977000</v>
      </c>
      <c r="N141" s="224">
        <v>338829</v>
      </c>
      <c r="O141" s="132" t="s">
        <v>244</v>
      </c>
      <c r="P141" s="132" t="s">
        <v>245</v>
      </c>
      <c r="Q141" s="133">
        <v>527</v>
      </c>
      <c r="R141" s="132" t="s">
        <v>246</v>
      </c>
      <c r="S141" s="132" t="s">
        <v>10</v>
      </c>
      <c r="T141" s="134">
        <v>42794</v>
      </c>
      <c r="U141" s="172">
        <f t="shared" si="16"/>
        <v>2017</v>
      </c>
      <c r="V141" s="172">
        <f t="shared" si="17"/>
        <v>2</v>
      </c>
      <c r="W141" s="44" t="s">
        <v>247</v>
      </c>
      <c r="X141" t="s">
        <v>894</v>
      </c>
      <c r="Y141">
        <v>1</v>
      </c>
      <c r="AA141" s="13">
        <f t="shared" si="15"/>
        <v>977000</v>
      </c>
      <c r="AE141" s="102"/>
      <c r="AF141" s="103"/>
      <c r="AG141" s="103"/>
      <c r="AH141" s="103"/>
      <c r="AI141" s="104"/>
      <c r="AJ141" s="104"/>
      <c r="AK141" s="105"/>
      <c r="AL141" s="104"/>
      <c r="AM141" s="102"/>
    </row>
    <row r="142" spans="13:39" ht="15" customHeight="1" thickBot="1">
      <c r="M142" s="131">
        <v>1000000</v>
      </c>
      <c r="N142" s="222">
        <v>361851</v>
      </c>
      <c r="O142" s="132" t="s">
        <v>244</v>
      </c>
      <c r="P142" s="132" t="s">
        <v>245</v>
      </c>
      <c r="Q142" s="133">
        <v>519</v>
      </c>
      <c r="R142" s="132" t="s">
        <v>246</v>
      </c>
      <c r="S142" s="132" t="s">
        <v>10</v>
      </c>
      <c r="T142" s="134">
        <v>42466</v>
      </c>
      <c r="U142" s="172">
        <f t="shared" si="16"/>
        <v>2016</v>
      </c>
      <c r="V142" s="172">
        <f t="shared" si="17"/>
        <v>4</v>
      </c>
      <c r="W142" s="44" t="s">
        <v>265</v>
      </c>
      <c r="X142" t="s">
        <v>894</v>
      </c>
      <c r="Y142">
        <v>1</v>
      </c>
      <c r="AA142" s="13">
        <f t="shared" si="15"/>
        <v>1000000</v>
      </c>
      <c r="AE142" s="102"/>
      <c r="AF142" s="103"/>
      <c r="AG142" s="103"/>
      <c r="AH142" s="103"/>
      <c r="AI142" s="104"/>
      <c r="AJ142" s="104"/>
      <c r="AK142" s="105"/>
      <c r="AL142" s="104"/>
      <c r="AM142" s="102"/>
    </row>
    <row r="143" spans="13:39" ht="15" hidden="1" customHeight="1" thickBot="1">
      <c r="M143" s="131">
        <v>1018018</v>
      </c>
      <c r="N143" s="223">
        <v>10220687</v>
      </c>
      <c r="O143" s="132" t="s">
        <v>248</v>
      </c>
      <c r="P143" s="132" t="s">
        <v>245</v>
      </c>
      <c r="Q143" s="133">
        <v>22525</v>
      </c>
      <c r="R143" s="132" t="s">
        <v>267</v>
      </c>
      <c r="S143" s="132" t="s">
        <v>10</v>
      </c>
      <c r="T143" s="134">
        <v>41953</v>
      </c>
      <c r="U143" s="172">
        <f t="shared" si="16"/>
        <v>2014</v>
      </c>
      <c r="V143" s="172">
        <f t="shared" si="17"/>
        <v>11</v>
      </c>
      <c r="W143" s="44" t="s">
        <v>270</v>
      </c>
      <c r="X143" t="s">
        <v>894</v>
      </c>
      <c r="Y143">
        <v>69</v>
      </c>
      <c r="AA143" s="13">
        <f t="shared" si="15"/>
        <v>1018018</v>
      </c>
      <c r="AE143" s="102"/>
      <c r="AF143" s="103"/>
      <c r="AG143" s="103"/>
      <c r="AH143" s="103"/>
      <c r="AI143" s="104"/>
      <c r="AJ143" s="104"/>
      <c r="AK143" s="105"/>
      <c r="AL143" s="104"/>
      <c r="AM143" s="102"/>
    </row>
    <row r="144" spans="13:39" ht="15" customHeight="1" thickBot="1">
      <c r="M144" s="131">
        <v>1093000</v>
      </c>
      <c r="N144" s="224">
        <v>343226</v>
      </c>
      <c r="O144" s="132" t="s">
        <v>244</v>
      </c>
      <c r="P144" s="132" t="s">
        <v>245</v>
      </c>
      <c r="Q144" s="133">
        <v>574</v>
      </c>
      <c r="R144" s="132" t="s">
        <v>246</v>
      </c>
      <c r="S144" s="132" t="s">
        <v>10</v>
      </c>
      <c r="T144" s="134">
        <v>42794</v>
      </c>
      <c r="U144" s="172">
        <f t="shared" si="16"/>
        <v>2017</v>
      </c>
      <c r="V144" s="172">
        <f t="shared" si="17"/>
        <v>2</v>
      </c>
      <c r="W144" s="44" t="s">
        <v>247</v>
      </c>
      <c r="X144" t="s">
        <v>894</v>
      </c>
      <c r="Y144">
        <v>1</v>
      </c>
      <c r="AA144" s="13">
        <f t="shared" si="15"/>
        <v>1093000</v>
      </c>
      <c r="AE144" s="102"/>
      <c r="AF144" s="103"/>
      <c r="AG144" s="103"/>
      <c r="AH144" s="103"/>
      <c r="AI144" s="104"/>
      <c r="AJ144" s="104"/>
      <c r="AK144" s="105"/>
      <c r="AL144" s="104"/>
      <c r="AM144" s="102"/>
    </row>
    <row r="145" spans="13:39" ht="15" hidden="1" customHeight="1" thickBot="1">
      <c r="M145" s="131">
        <v>1101999</v>
      </c>
      <c r="N145" s="223">
        <v>6046568</v>
      </c>
      <c r="O145" s="132" t="s">
        <v>248</v>
      </c>
      <c r="P145" s="132" t="s">
        <v>245</v>
      </c>
      <c r="Q145" s="133">
        <v>22512</v>
      </c>
      <c r="R145" s="132" t="s">
        <v>267</v>
      </c>
      <c r="S145" s="132" t="s">
        <v>10</v>
      </c>
      <c r="T145" s="134">
        <v>41777</v>
      </c>
      <c r="U145" s="172">
        <f t="shared" si="16"/>
        <v>2014</v>
      </c>
      <c r="V145" s="172">
        <f t="shared" si="17"/>
        <v>5</v>
      </c>
      <c r="W145" s="44" t="s">
        <v>271</v>
      </c>
      <c r="X145" t="s">
        <v>894</v>
      </c>
      <c r="Y145">
        <v>62</v>
      </c>
      <c r="AA145" s="13">
        <f t="shared" si="15"/>
        <v>1101999</v>
      </c>
      <c r="AE145" s="102"/>
      <c r="AF145" s="103"/>
      <c r="AG145" s="103"/>
      <c r="AH145" s="103"/>
      <c r="AI145" s="104"/>
      <c r="AJ145" s="104"/>
      <c r="AK145" s="105"/>
      <c r="AL145" s="104"/>
      <c r="AM145" s="102"/>
    </row>
    <row r="146" spans="13:39" ht="15" customHeight="1" thickBot="1">
      <c r="M146" s="131">
        <v>1126000</v>
      </c>
      <c r="N146" s="222">
        <v>23418495</v>
      </c>
      <c r="O146" s="132" t="s">
        <v>248</v>
      </c>
      <c r="P146" s="132" t="s">
        <v>245</v>
      </c>
      <c r="Q146" s="133">
        <v>22535</v>
      </c>
      <c r="R146" s="132" t="s">
        <v>267</v>
      </c>
      <c r="S146" s="132" t="s">
        <v>10</v>
      </c>
      <c r="T146" s="134">
        <v>42064</v>
      </c>
      <c r="U146" s="172">
        <f t="shared" si="16"/>
        <v>2015</v>
      </c>
      <c r="V146" s="172">
        <f t="shared" si="17"/>
        <v>3</v>
      </c>
      <c r="W146" s="44" t="s">
        <v>268</v>
      </c>
      <c r="X146" t="s">
        <v>894</v>
      </c>
      <c r="Y146">
        <v>150</v>
      </c>
      <c r="AA146" s="13">
        <f t="shared" si="15"/>
        <v>1126000</v>
      </c>
      <c r="AE146" s="102"/>
      <c r="AF146" s="103"/>
      <c r="AG146" s="103"/>
      <c r="AH146" s="103"/>
      <c r="AI146" s="104"/>
      <c r="AJ146" s="104"/>
      <c r="AK146" s="105"/>
      <c r="AL146" s="104"/>
      <c r="AM146" s="102"/>
    </row>
    <row r="147" spans="13:39" ht="15" customHeight="1" thickBot="1">
      <c r="M147" s="131">
        <v>1348500</v>
      </c>
      <c r="N147" s="223">
        <v>13348625</v>
      </c>
      <c r="O147" s="132" t="s">
        <v>248</v>
      </c>
      <c r="P147" s="132" t="s">
        <v>245</v>
      </c>
      <c r="Q147" s="133">
        <v>22526</v>
      </c>
      <c r="R147" s="132" t="s">
        <v>10</v>
      </c>
      <c r="S147" s="132" t="s">
        <v>10</v>
      </c>
      <c r="T147" s="134">
        <v>42204</v>
      </c>
      <c r="U147" s="172">
        <f t="shared" si="16"/>
        <v>2015</v>
      </c>
      <c r="V147" s="172">
        <f t="shared" si="17"/>
        <v>7</v>
      </c>
      <c r="W147" s="44" t="s">
        <v>266</v>
      </c>
      <c r="X147" t="s">
        <v>894</v>
      </c>
      <c r="Y147">
        <v>87</v>
      </c>
      <c r="AA147" s="13">
        <f t="shared" si="15"/>
        <v>1348500</v>
      </c>
      <c r="AE147" s="102"/>
      <c r="AF147" s="103"/>
      <c r="AG147" s="103"/>
      <c r="AH147" s="103"/>
      <c r="AI147" s="104"/>
      <c r="AJ147" s="104"/>
      <c r="AK147" s="105"/>
      <c r="AL147" s="104"/>
      <c r="AM147" s="102"/>
    </row>
    <row r="148" spans="13:39" ht="15" customHeight="1" thickBot="1">
      <c r="M148" s="131">
        <v>1518018</v>
      </c>
      <c r="N148" s="223">
        <v>10441820</v>
      </c>
      <c r="O148" s="132" t="s">
        <v>248</v>
      </c>
      <c r="P148" s="132" t="s">
        <v>245</v>
      </c>
      <c r="Q148" s="133">
        <v>22537</v>
      </c>
      <c r="R148" s="132" t="s">
        <v>267</v>
      </c>
      <c r="S148" s="132" t="s">
        <v>10</v>
      </c>
      <c r="T148" s="134">
        <v>42064</v>
      </c>
      <c r="U148" s="172">
        <f t="shared" si="16"/>
        <v>2015</v>
      </c>
      <c r="V148" s="172">
        <f t="shared" si="17"/>
        <v>3</v>
      </c>
      <c r="W148" s="44" t="s">
        <v>268</v>
      </c>
      <c r="X148" t="s">
        <v>894</v>
      </c>
      <c r="Y148">
        <v>78</v>
      </c>
      <c r="AA148" s="13">
        <f t="shared" si="15"/>
        <v>1518018</v>
      </c>
      <c r="AE148" s="102"/>
      <c r="AF148" s="103"/>
      <c r="AG148" s="103"/>
      <c r="AH148" s="103"/>
      <c r="AI148" s="104"/>
      <c r="AJ148" s="104"/>
      <c r="AK148" s="105"/>
      <c r="AL148" s="104"/>
      <c r="AM148" s="102"/>
    </row>
    <row r="149" spans="13:39" ht="15" customHeight="1" thickBot="1">
      <c r="M149" s="131">
        <v>1624464</v>
      </c>
      <c r="N149" s="223">
        <v>10731302</v>
      </c>
      <c r="O149" s="132" t="s">
        <v>248</v>
      </c>
      <c r="P149" s="132" t="s">
        <v>245</v>
      </c>
      <c r="Q149" s="133">
        <v>22516</v>
      </c>
      <c r="R149" s="132" t="s">
        <v>267</v>
      </c>
      <c r="S149" s="132" t="s">
        <v>10</v>
      </c>
      <c r="T149" s="134">
        <v>42064</v>
      </c>
      <c r="U149" s="172">
        <f t="shared" si="16"/>
        <v>2015</v>
      </c>
      <c r="V149" s="172">
        <f t="shared" si="17"/>
        <v>3</v>
      </c>
      <c r="W149" s="44" t="s">
        <v>268</v>
      </c>
      <c r="X149" t="s">
        <v>894</v>
      </c>
      <c r="Y149">
        <v>72</v>
      </c>
      <c r="AA149" s="13">
        <f t="shared" si="15"/>
        <v>1624464</v>
      </c>
      <c r="AE149" s="102"/>
      <c r="AF149" s="103"/>
      <c r="AG149" s="103"/>
      <c r="AH149" s="103"/>
      <c r="AI149" s="104"/>
      <c r="AJ149" s="104"/>
      <c r="AK149" s="105"/>
      <c r="AL149" s="104"/>
      <c r="AM149" s="106"/>
    </row>
    <row r="150" spans="13:39" ht="15" hidden="1" customHeight="1" thickBot="1">
      <c r="M150" s="131">
        <v>1661000</v>
      </c>
      <c r="N150" s="223">
        <v>9175746</v>
      </c>
      <c r="O150" s="132" t="s">
        <v>248</v>
      </c>
      <c r="P150" s="132" t="s">
        <v>245</v>
      </c>
      <c r="Q150" s="133">
        <v>22518</v>
      </c>
      <c r="R150" s="132" t="s">
        <v>267</v>
      </c>
      <c r="S150" s="132" t="s">
        <v>10</v>
      </c>
      <c r="T150" s="134">
        <v>41777</v>
      </c>
      <c r="U150" s="172">
        <f t="shared" si="16"/>
        <v>2014</v>
      </c>
      <c r="V150" s="172">
        <f t="shared" si="17"/>
        <v>5</v>
      </c>
      <c r="W150" s="44" t="s">
        <v>271</v>
      </c>
      <c r="X150" t="s">
        <v>894</v>
      </c>
      <c r="Y150">
        <v>104</v>
      </c>
      <c r="AA150" s="13">
        <f t="shared" si="15"/>
        <v>1661000</v>
      </c>
      <c r="AE150" s="102"/>
      <c r="AF150" s="103"/>
      <c r="AG150" s="103"/>
      <c r="AH150" s="103"/>
      <c r="AI150" s="104"/>
      <c r="AJ150" s="104"/>
      <c r="AK150" s="105"/>
      <c r="AL150" s="104"/>
      <c r="AM150" s="102"/>
    </row>
    <row r="151" spans="13:39" ht="15" customHeight="1" thickBot="1">
      <c r="M151" s="131">
        <v>1800000</v>
      </c>
      <c r="N151" s="222">
        <v>16171023</v>
      </c>
      <c r="O151" s="132" t="s">
        <v>248</v>
      </c>
      <c r="P151" s="132" t="s">
        <v>245</v>
      </c>
      <c r="Q151" s="133">
        <v>22533</v>
      </c>
      <c r="R151" s="132" t="s">
        <v>10</v>
      </c>
      <c r="S151" s="132" t="s">
        <v>10</v>
      </c>
      <c r="T151" s="134">
        <v>42204</v>
      </c>
      <c r="U151" s="172">
        <f t="shared" si="16"/>
        <v>2015</v>
      </c>
      <c r="V151" s="172">
        <f t="shared" si="17"/>
        <v>7</v>
      </c>
      <c r="W151" s="44" t="s">
        <v>266</v>
      </c>
      <c r="X151" t="s">
        <v>894</v>
      </c>
      <c r="Y151">
        <v>112</v>
      </c>
      <c r="AA151" s="13">
        <f t="shared" si="15"/>
        <v>1800000</v>
      </c>
      <c r="AE151" s="102"/>
      <c r="AF151" s="103"/>
      <c r="AG151" s="103"/>
      <c r="AH151" s="103"/>
      <c r="AI151" s="104"/>
      <c r="AJ151" s="104"/>
      <c r="AK151" s="105"/>
      <c r="AL151" s="104"/>
      <c r="AM151" s="102"/>
    </row>
    <row r="152" spans="13:39" ht="15" customHeight="1" thickBot="1">
      <c r="M152" s="131">
        <v>2100000</v>
      </c>
      <c r="N152" s="223">
        <v>10118206</v>
      </c>
      <c r="O152" s="132" t="s">
        <v>248</v>
      </c>
      <c r="P152" s="132" t="s">
        <v>245</v>
      </c>
      <c r="Q152" s="133">
        <v>22522</v>
      </c>
      <c r="R152" s="132" t="s">
        <v>10</v>
      </c>
      <c r="S152" s="132" t="s">
        <v>10</v>
      </c>
      <c r="T152" s="134">
        <v>42204</v>
      </c>
      <c r="U152" s="172">
        <f t="shared" si="16"/>
        <v>2015</v>
      </c>
      <c r="V152" s="172">
        <f t="shared" si="17"/>
        <v>7</v>
      </c>
      <c r="W152" s="44" t="s">
        <v>266</v>
      </c>
      <c r="X152" t="s">
        <v>894</v>
      </c>
      <c r="Y152">
        <v>80</v>
      </c>
      <c r="AA152" s="13">
        <f t="shared" si="15"/>
        <v>2100000</v>
      </c>
      <c r="AE152" s="102"/>
      <c r="AF152" s="103"/>
      <c r="AG152" s="103"/>
      <c r="AH152" s="103"/>
      <c r="AI152" s="104"/>
      <c r="AJ152" s="104"/>
      <c r="AK152" s="105"/>
      <c r="AL152" s="104"/>
      <c r="AM152" s="102"/>
    </row>
    <row r="153" spans="13:39" ht="15" customHeight="1" thickBot="1">
      <c r="M153" s="131">
        <v>2126000</v>
      </c>
      <c r="N153" s="222">
        <v>15069458</v>
      </c>
      <c r="O153" s="132" t="s">
        <v>248</v>
      </c>
      <c r="P153" s="132" t="s">
        <v>245</v>
      </c>
      <c r="Q153" s="133">
        <v>24076</v>
      </c>
      <c r="R153" s="132" t="s">
        <v>10</v>
      </c>
      <c r="S153" s="132" t="s">
        <v>10</v>
      </c>
      <c r="T153" s="134">
        <v>42204</v>
      </c>
      <c r="U153" s="172">
        <f t="shared" si="16"/>
        <v>2015</v>
      </c>
      <c r="V153" s="172">
        <f t="shared" si="17"/>
        <v>7</v>
      </c>
      <c r="W153" s="44" t="s">
        <v>266</v>
      </c>
      <c r="X153" t="s">
        <v>894</v>
      </c>
      <c r="Y153">
        <v>104</v>
      </c>
      <c r="AA153" s="13">
        <f t="shared" si="15"/>
        <v>2126000</v>
      </c>
      <c r="AE153" s="102"/>
      <c r="AF153" s="103"/>
      <c r="AG153" s="103"/>
      <c r="AH153" s="103"/>
      <c r="AI153" s="104"/>
      <c r="AJ153" s="104"/>
      <c r="AK153" s="105"/>
      <c r="AL153" s="104"/>
      <c r="AM153" s="102"/>
    </row>
    <row r="154" spans="13:39" ht="15" customHeight="1" thickBot="1">
      <c r="M154" s="131">
        <v>2300777</v>
      </c>
      <c r="N154" s="223">
        <v>10309964</v>
      </c>
      <c r="O154" s="132" t="s">
        <v>248</v>
      </c>
      <c r="P154" s="132" t="s">
        <v>245</v>
      </c>
      <c r="Q154" s="133">
        <v>22532</v>
      </c>
      <c r="R154" s="132" t="s">
        <v>10</v>
      </c>
      <c r="S154" s="132" t="s">
        <v>10</v>
      </c>
      <c r="T154" s="134">
        <v>42204</v>
      </c>
      <c r="U154" s="172">
        <f t="shared" si="16"/>
        <v>2015</v>
      </c>
      <c r="V154" s="172">
        <f t="shared" si="17"/>
        <v>7</v>
      </c>
      <c r="W154" s="44" t="s">
        <v>266</v>
      </c>
      <c r="X154" t="s">
        <v>894</v>
      </c>
      <c r="Y154">
        <v>68</v>
      </c>
      <c r="AA154" s="13">
        <f t="shared" si="15"/>
        <v>2300777</v>
      </c>
      <c r="AE154" s="102"/>
      <c r="AF154" s="103"/>
      <c r="AG154" s="103"/>
      <c r="AH154" s="103"/>
      <c r="AI154" s="104"/>
      <c r="AJ154" s="104"/>
      <c r="AK154" s="105"/>
      <c r="AL154" s="104"/>
      <c r="AM154" s="102"/>
    </row>
    <row r="155" spans="13:39" ht="15" hidden="1" customHeight="1" thickBot="1">
      <c r="M155" s="131">
        <v>2484018</v>
      </c>
      <c r="N155" s="223">
        <v>9896770</v>
      </c>
      <c r="O155" s="132" t="s">
        <v>248</v>
      </c>
      <c r="P155" s="132" t="s">
        <v>245</v>
      </c>
      <c r="Q155" s="133">
        <v>22513</v>
      </c>
      <c r="R155" s="132" t="s">
        <v>267</v>
      </c>
      <c r="S155" s="132" t="s">
        <v>10</v>
      </c>
      <c r="T155" s="134">
        <v>41777</v>
      </c>
      <c r="U155" s="172">
        <f t="shared" si="16"/>
        <v>2014</v>
      </c>
      <c r="V155" s="172">
        <f t="shared" si="17"/>
        <v>5</v>
      </c>
      <c r="W155" s="44" t="s">
        <v>271</v>
      </c>
      <c r="X155" t="s">
        <v>894</v>
      </c>
      <c r="Y155">
        <v>92</v>
      </c>
      <c r="AA155" s="13">
        <f t="shared" si="15"/>
        <v>2484018</v>
      </c>
      <c r="AE155" s="102"/>
      <c r="AF155" s="103"/>
      <c r="AG155" s="103"/>
      <c r="AH155" s="103"/>
      <c r="AI155" s="104"/>
      <c r="AJ155" s="104"/>
      <c r="AK155" s="105"/>
      <c r="AL155" s="104"/>
      <c r="AM155" s="102"/>
    </row>
    <row r="156" spans="13:39" ht="15" customHeight="1" thickBot="1">
      <c r="M156" s="131">
        <v>3444000</v>
      </c>
      <c r="N156" s="223">
        <v>12917492</v>
      </c>
      <c r="O156" s="132" t="s">
        <v>248</v>
      </c>
      <c r="P156" s="132" t="s">
        <v>245</v>
      </c>
      <c r="Q156" s="133">
        <v>22523</v>
      </c>
      <c r="R156" s="132" t="s">
        <v>10</v>
      </c>
      <c r="S156" s="132" t="s">
        <v>10</v>
      </c>
      <c r="T156" s="134">
        <v>42204</v>
      </c>
      <c r="U156" s="172">
        <f t="shared" si="16"/>
        <v>2015</v>
      </c>
      <c r="V156" s="172">
        <f t="shared" si="17"/>
        <v>7</v>
      </c>
      <c r="W156" s="44" t="s">
        <v>266</v>
      </c>
      <c r="X156" t="s">
        <v>894</v>
      </c>
      <c r="Y156">
        <v>82</v>
      </c>
      <c r="AA156" s="13">
        <f t="shared" si="15"/>
        <v>3444000</v>
      </c>
      <c r="AE156" s="102"/>
      <c r="AM156" s="102"/>
    </row>
    <row r="157" spans="13:39" ht="15" hidden="1" customHeight="1" thickBot="1">
      <c r="M157" s="131">
        <v>18287999</v>
      </c>
      <c r="N157" s="224">
        <v>6169229</v>
      </c>
      <c r="O157" s="132" t="s">
        <v>248</v>
      </c>
      <c r="P157" s="132" t="s">
        <v>245</v>
      </c>
      <c r="Q157" s="133">
        <v>3</v>
      </c>
      <c r="R157" s="132" t="s">
        <v>249</v>
      </c>
      <c r="S157" s="132" t="s">
        <v>10</v>
      </c>
      <c r="T157" s="134">
        <v>42536</v>
      </c>
      <c r="U157" s="172">
        <f t="shared" si="16"/>
        <v>2016</v>
      </c>
      <c r="V157" s="172">
        <f t="shared" si="17"/>
        <v>6</v>
      </c>
      <c r="W157" s="44" t="s">
        <v>250</v>
      </c>
      <c r="X157" t="s">
        <v>892</v>
      </c>
      <c r="Y157">
        <v>26</v>
      </c>
      <c r="Z157">
        <v>8579</v>
      </c>
      <c r="AA157" s="13">
        <f t="shared" si="15"/>
        <v>18287999</v>
      </c>
      <c r="AE157" s="102"/>
      <c r="AM157" s="102"/>
    </row>
    <row r="158" spans="13:39" ht="15" hidden="1" customHeight="1" thickBot="1">
      <c r="M158" s="131">
        <v>6794</v>
      </c>
      <c r="N158" s="223">
        <v>69986209</v>
      </c>
      <c r="O158" s="132" t="s">
        <v>248</v>
      </c>
      <c r="P158" s="132" t="s">
        <v>251</v>
      </c>
      <c r="Q158" s="133">
        <v>43024</v>
      </c>
      <c r="R158" s="132" t="s">
        <v>274</v>
      </c>
      <c r="S158" s="132" t="s">
        <v>11</v>
      </c>
      <c r="T158" s="134">
        <v>42618</v>
      </c>
      <c r="U158" s="172">
        <f t="shared" si="16"/>
        <v>2016</v>
      </c>
      <c r="V158" s="172">
        <f t="shared" si="17"/>
        <v>9</v>
      </c>
      <c r="W158" s="44" t="s">
        <v>278</v>
      </c>
      <c r="X158" t="s">
        <v>892</v>
      </c>
      <c r="Y158">
        <v>360</v>
      </c>
      <c r="Z158">
        <v>25219</v>
      </c>
      <c r="AA158" s="13">
        <f t="shared" si="15"/>
        <v>3438000</v>
      </c>
      <c r="AE158" s="102"/>
      <c r="AM158" s="102"/>
    </row>
    <row r="159" spans="13:39" ht="15" hidden="1" customHeight="1" thickBot="1">
      <c r="M159" s="131">
        <v>7199</v>
      </c>
      <c r="N159" s="223">
        <v>25511903</v>
      </c>
      <c r="O159" s="132" t="s">
        <v>248</v>
      </c>
      <c r="P159" s="132" t="s">
        <v>251</v>
      </c>
      <c r="Q159" s="133">
        <v>46102</v>
      </c>
      <c r="R159" s="132" t="s">
        <v>274</v>
      </c>
      <c r="S159" s="132" t="s">
        <v>11</v>
      </c>
      <c r="T159" s="134">
        <v>42716</v>
      </c>
      <c r="U159" s="172">
        <f t="shared" si="16"/>
        <v>2016</v>
      </c>
      <c r="V159" s="172">
        <f t="shared" si="17"/>
        <v>12</v>
      </c>
      <c r="W159" s="44" t="s">
        <v>276</v>
      </c>
      <c r="X159" t="s">
        <v>892</v>
      </c>
      <c r="Y159">
        <v>112</v>
      </c>
      <c r="Z159">
        <v>9466</v>
      </c>
      <c r="AA159" s="13">
        <f t="shared" si="15"/>
        <v>4471600</v>
      </c>
      <c r="AE159" s="102"/>
      <c r="AM159" s="102"/>
    </row>
    <row r="160" spans="13:39" ht="15" hidden="1" customHeight="1" thickBot="1">
      <c r="M160" s="131">
        <v>7289</v>
      </c>
      <c r="N160" s="223">
        <v>25449709</v>
      </c>
      <c r="O160" s="132" t="s">
        <v>248</v>
      </c>
      <c r="P160" s="132" t="s">
        <v>251</v>
      </c>
      <c r="Q160" s="133">
        <v>46103</v>
      </c>
      <c r="R160" s="132" t="s">
        <v>274</v>
      </c>
      <c r="S160" s="132" t="s">
        <v>11</v>
      </c>
      <c r="T160" s="134">
        <v>42716</v>
      </c>
      <c r="U160" s="172">
        <f t="shared" si="16"/>
        <v>2016</v>
      </c>
      <c r="V160" s="172">
        <f t="shared" si="17"/>
        <v>12</v>
      </c>
      <c r="W160" s="44" t="s">
        <v>276</v>
      </c>
      <c r="X160" t="s">
        <v>892</v>
      </c>
      <c r="Y160">
        <v>112</v>
      </c>
      <c r="Z160">
        <v>9410</v>
      </c>
      <c r="AA160" s="13">
        <f t="shared" si="15"/>
        <v>5227600</v>
      </c>
      <c r="AE160" s="102"/>
      <c r="AM160" s="102"/>
    </row>
    <row r="161" spans="13:39" ht="15" hidden="1" customHeight="1" thickBot="1">
      <c r="M161" s="131">
        <v>7389</v>
      </c>
      <c r="N161" s="223">
        <v>26910053</v>
      </c>
      <c r="O161" s="132" t="s">
        <v>248</v>
      </c>
      <c r="P161" s="132" t="s">
        <v>251</v>
      </c>
      <c r="Q161" s="133">
        <v>43021</v>
      </c>
      <c r="R161" s="132" t="s">
        <v>274</v>
      </c>
      <c r="S161" s="132" t="s">
        <v>11</v>
      </c>
      <c r="T161" s="134">
        <v>42716</v>
      </c>
      <c r="U161" s="172">
        <f t="shared" si="16"/>
        <v>2016</v>
      </c>
      <c r="V161" s="172">
        <f t="shared" si="17"/>
        <v>12</v>
      </c>
      <c r="W161" s="44" t="s">
        <v>276</v>
      </c>
      <c r="X161" t="s">
        <v>892</v>
      </c>
      <c r="Y161">
        <v>115</v>
      </c>
      <c r="Z161">
        <v>10616</v>
      </c>
      <c r="AA161" s="13">
        <f t="shared" si="15"/>
        <v>6230125</v>
      </c>
      <c r="AE161" s="102"/>
      <c r="AM161" s="102"/>
    </row>
    <row r="162" spans="13:39" ht="15" hidden="1" customHeight="1" thickBot="1">
      <c r="M162" s="131">
        <v>7455</v>
      </c>
      <c r="N162" s="223">
        <v>16593548</v>
      </c>
      <c r="O162" s="132" t="s">
        <v>248</v>
      </c>
      <c r="P162" s="132" t="s">
        <v>251</v>
      </c>
      <c r="Q162" s="133">
        <v>46104</v>
      </c>
      <c r="R162" s="132" t="s">
        <v>274</v>
      </c>
      <c r="S162" s="132" t="s">
        <v>11</v>
      </c>
      <c r="T162" s="134">
        <v>42716</v>
      </c>
      <c r="U162" s="172">
        <f t="shared" si="16"/>
        <v>2016</v>
      </c>
      <c r="V162" s="172">
        <f t="shared" si="17"/>
        <v>12</v>
      </c>
      <c r="W162" s="44" t="s">
        <v>276</v>
      </c>
      <c r="X162" t="s">
        <v>892</v>
      </c>
      <c r="Y162">
        <v>74</v>
      </c>
      <c r="Z162">
        <v>6121</v>
      </c>
      <c r="AA162" s="13">
        <f t="shared" si="15"/>
        <v>4375250</v>
      </c>
      <c r="AE162" s="102"/>
      <c r="AM162" s="102"/>
    </row>
    <row r="163" spans="13:39" ht="45" hidden="1" customHeight="1" thickBot="1">
      <c r="M163" s="131">
        <v>20176</v>
      </c>
      <c r="N163" s="223">
        <v>468492</v>
      </c>
      <c r="O163" s="132" t="s">
        <v>244</v>
      </c>
      <c r="P163" s="132" t="s">
        <v>245</v>
      </c>
      <c r="Q163" s="133">
        <v>1391</v>
      </c>
      <c r="R163" s="132" t="s">
        <v>279</v>
      </c>
      <c r="S163" s="132" t="s">
        <v>11</v>
      </c>
      <c r="T163" s="134">
        <v>42548</v>
      </c>
      <c r="U163" s="172">
        <f t="shared" si="16"/>
        <v>2016</v>
      </c>
      <c r="V163" s="172">
        <f t="shared" si="17"/>
        <v>6</v>
      </c>
      <c r="W163" s="44" t="s">
        <v>280</v>
      </c>
      <c r="X163" t="s">
        <v>892</v>
      </c>
      <c r="Y163">
        <v>1</v>
      </c>
      <c r="AA163" s="13">
        <f t="shared" si="15"/>
        <v>1013200</v>
      </c>
      <c r="AE163" s="102"/>
      <c r="AM163" s="102"/>
    </row>
    <row r="164" spans="13:39" ht="45" hidden="1" customHeight="1" thickBot="1">
      <c r="M164" s="131">
        <v>20272</v>
      </c>
      <c r="N164" s="223">
        <v>556034</v>
      </c>
      <c r="O164" s="132" t="s">
        <v>244</v>
      </c>
      <c r="P164" s="132" t="s">
        <v>245</v>
      </c>
      <c r="Q164" s="133">
        <v>1015</v>
      </c>
      <c r="R164" s="132" t="s">
        <v>279</v>
      </c>
      <c r="S164" s="132" t="s">
        <v>11</v>
      </c>
      <c r="T164" s="134">
        <v>42548</v>
      </c>
      <c r="U164" s="172">
        <f t="shared" si="16"/>
        <v>2016</v>
      </c>
      <c r="V164" s="172">
        <f t="shared" si="17"/>
        <v>6</v>
      </c>
      <c r="W164" s="44" t="s">
        <v>280</v>
      </c>
      <c r="X164" t="s">
        <v>892</v>
      </c>
      <c r="Y164">
        <v>1</v>
      </c>
      <c r="AA164" s="13">
        <f t="shared" si="15"/>
        <v>1020400</v>
      </c>
      <c r="AE164" s="102"/>
      <c r="AM164" s="102"/>
    </row>
    <row r="165" spans="13:39" ht="45" hidden="1" customHeight="1" thickBot="1">
      <c r="M165" s="131">
        <v>20272</v>
      </c>
      <c r="N165" s="223">
        <v>556034</v>
      </c>
      <c r="O165" s="132" t="s">
        <v>244</v>
      </c>
      <c r="P165" s="132" t="s">
        <v>245</v>
      </c>
      <c r="Q165" s="133">
        <v>1016</v>
      </c>
      <c r="R165" s="132" t="s">
        <v>279</v>
      </c>
      <c r="S165" s="132" t="s">
        <v>11</v>
      </c>
      <c r="T165" s="134">
        <v>42548</v>
      </c>
      <c r="U165" s="172">
        <f t="shared" si="16"/>
        <v>2016</v>
      </c>
      <c r="V165" s="172">
        <f t="shared" si="17"/>
        <v>6</v>
      </c>
      <c r="W165" s="44" t="s">
        <v>280</v>
      </c>
      <c r="X165" t="s">
        <v>892</v>
      </c>
      <c r="Y165">
        <v>1</v>
      </c>
      <c r="AA165" s="13">
        <f t="shared" si="15"/>
        <v>1020400</v>
      </c>
      <c r="AE165" s="102"/>
      <c r="AM165" s="102"/>
    </row>
    <row r="166" spans="13:39" ht="45" hidden="1" customHeight="1" thickBot="1">
      <c r="M166" s="131">
        <v>21375</v>
      </c>
      <c r="N166" s="223">
        <v>468492</v>
      </c>
      <c r="O166" s="132" t="s">
        <v>244</v>
      </c>
      <c r="P166" s="132" t="s">
        <v>245</v>
      </c>
      <c r="Q166" s="133">
        <v>1136</v>
      </c>
      <c r="R166" s="132" t="s">
        <v>279</v>
      </c>
      <c r="S166" s="132" t="s">
        <v>11</v>
      </c>
      <c r="T166" s="134">
        <v>42548</v>
      </c>
      <c r="U166" s="172">
        <f t="shared" si="16"/>
        <v>2016</v>
      </c>
      <c r="V166" s="172">
        <f t="shared" si="17"/>
        <v>6</v>
      </c>
      <c r="W166" s="44" t="s">
        <v>280</v>
      </c>
      <c r="X166" t="s">
        <v>892</v>
      </c>
      <c r="Y166">
        <v>1</v>
      </c>
      <c r="AA166" s="13">
        <f t="shared" si="15"/>
        <v>1103125</v>
      </c>
      <c r="AE166" s="102"/>
      <c r="AM166" s="102"/>
    </row>
    <row r="167" spans="13:39" ht="45" hidden="1" customHeight="1" thickBot="1">
      <c r="M167" s="131">
        <v>21528</v>
      </c>
      <c r="N167" s="223">
        <v>514458</v>
      </c>
      <c r="O167" s="132" t="s">
        <v>244</v>
      </c>
      <c r="P167" s="132" t="s">
        <v>245</v>
      </c>
      <c r="Q167" s="133">
        <v>1272</v>
      </c>
      <c r="R167" s="132" t="s">
        <v>279</v>
      </c>
      <c r="S167" s="132" t="s">
        <v>11</v>
      </c>
      <c r="T167" s="134">
        <v>42548</v>
      </c>
      <c r="U167" s="172">
        <f t="shared" si="16"/>
        <v>2016</v>
      </c>
      <c r="V167" s="172">
        <f t="shared" si="17"/>
        <v>6</v>
      </c>
      <c r="W167" s="44" t="s">
        <v>280</v>
      </c>
      <c r="X167" t="s">
        <v>892</v>
      </c>
      <c r="Y167">
        <v>1</v>
      </c>
      <c r="AA167" s="13">
        <f t="shared" si="15"/>
        <v>1114600</v>
      </c>
      <c r="AE167" s="102"/>
      <c r="AM167" s="102"/>
    </row>
    <row r="168" spans="13:39" ht="45" hidden="1" customHeight="1" thickBot="1">
      <c r="M168" s="131">
        <v>22300</v>
      </c>
      <c r="N168" s="223">
        <v>455962</v>
      </c>
      <c r="O168" s="132" t="s">
        <v>244</v>
      </c>
      <c r="P168" s="132" t="s">
        <v>245</v>
      </c>
      <c r="Q168" s="133">
        <v>1193</v>
      </c>
      <c r="R168" s="132" t="s">
        <v>279</v>
      </c>
      <c r="S168" s="132" t="s">
        <v>11</v>
      </c>
      <c r="T168" s="134">
        <v>42548</v>
      </c>
      <c r="U168" s="172">
        <f t="shared" si="16"/>
        <v>2016</v>
      </c>
      <c r="V168" s="172">
        <f t="shared" si="17"/>
        <v>6</v>
      </c>
      <c r="W168" s="44" t="s">
        <v>280</v>
      </c>
      <c r="X168" t="s">
        <v>892</v>
      </c>
      <c r="Y168">
        <v>1</v>
      </c>
      <c r="AA168" s="13">
        <f t="shared" si="15"/>
        <v>1172500</v>
      </c>
      <c r="AE168" s="102"/>
      <c r="AM168" s="102"/>
    </row>
    <row r="169" spans="13:39" ht="45" hidden="1" customHeight="1" thickBot="1">
      <c r="M169" s="131">
        <v>22492</v>
      </c>
      <c r="N169" s="223">
        <v>483300</v>
      </c>
      <c r="O169" s="132" t="s">
        <v>244</v>
      </c>
      <c r="P169" s="132" t="s">
        <v>245</v>
      </c>
      <c r="Q169" s="133">
        <v>1278</v>
      </c>
      <c r="R169" s="132" t="s">
        <v>279</v>
      </c>
      <c r="S169" s="132" t="s">
        <v>11</v>
      </c>
      <c r="T169" s="134">
        <v>42548</v>
      </c>
      <c r="U169" s="172">
        <f t="shared" si="16"/>
        <v>2016</v>
      </c>
      <c r="V169" s="172">
        <f t="shared" si="17"/>
        <v>6</v>
      </c>
      <c r="W169" s="44" t="s">
        <v>280</v>
      </c>
      <c r="X169" t="s">
        <v>892</v>
      </c>
      <c r="Y169">
        <v>1</v>
      </c>
      <c r="AA169" s="13">
        <f t="shared" si="15"/>
        <v>1186900</v>
      </c>
      <c r="AE169" s="102"/>
      <c r="AM169" s="102"/>
    </row>
    <row r="170" spans="13:39" ht="45" hidden="1" customHeight="1" thickBot="1">
      <c r="M170" s="131">
        <v>23347</v>
      </c>
      <c r="N170" s="223">
        <v>514458</v>
      </c>
      <c r="O170" s="132" t="s">
        <v>244</v>
      </c>
      <c r="P170" s="132" t="s">
        <v>245</v>
      </c>
      <c r="Q170" s="133">
        <v>1441</v>
      </c>
      <c r="R170" s="132" t="s">
        <v>279</v>
      </c>
      <c r="S170" s="132" t="s">
        <v>11</v>
      </c>
      <c r="T170" s="134">
        <v>42548</v>
      </c>
      <c r="U170" s="172">
        <f t="shared" si="16"/>
        <v>2016</v>
      </c>
      <c r="V170" s="172">
        <f t="shared" si="17"/>
        <v>6</v>
      </c>
      <c r="W170" s="44" t="s">
        <v>280</v>
      </c>
      <c r="X170" t="s">
        <v>892</v>
      </c>
      <c r="Y170">
        <v>1</v>
      </c>
      <c r="AA170" s="13">
        <f t="shared" si="15"/>
        <v>1251025</v>
      </c>
      <c r="AE170" s="102"/>
      <c r="AM170" s="102"/>
    </row>
    <row r="171" spans="13:39" ht="45" hidden="1" customHeight="1" thickBot="1">
      <c r="M171" s="131">
        <v>23400</v>
      </c>
      <c r="N171" s="223">
        <v>514458</v>
      </c>
      <c r="O171" s="132" t="s">
        <v>244</v>
      </c>
      <c r="P171" s="132" t="s">
        <v>245</v>
      </c>
      <c r="Q171" s="133">
        <v>1556</v>
      </c>
      <c r="R171" s="132" t="s">
        <v>279</v>
      </c>
      <c r="S171" s="132" t="s">
        <v>11</v>
      </c>
      <c r="T171" s="134">
        <v>42548</v>
      </c>
      <c r="U171" s="172">
        <f t="shared" si="16"/>
        <v>2016</v>
      </c>
      <c r="V171" s="172">
        <f t="shared" si="17"/>
        <v>6</v>
      </c>
      <c r="W171" s="44" t="s">
        <v>280</v>
      </c>
      <c r="X171" t="s">
        <v>892</v>
      </c>
      <c r="Y171">
        <v>1</v>
      </c>
      <c r="AA171" s="13">
        <f t="shared" si="15"/>
        <v>1255000</v>
      </c>
      <c r="AE171" s="102"/>
      <c r="AM171" s="102"/>
    </row>
    <row r="172" spans="13:39" ht="45" hidden="1" customHeight="1" thickBot="1">
      <c r="M172" s="131">
        <v>23777</v>
      </c>
      <c r="N172" s="223">
        <v>514458</v>
      </c>
      <c r="O172" s="132" t="s">
        <v>244</v>
      </c>
      <c r="P172" s="132" t="s">
        <v>245</v>
      </c>
      <c r="Q172" s="133">
        <v>1447</v>
      </c>
      <c r="R172" s="132" t="s">
        <v>279</v>
      </c>
      <c r="S172" s="132" t="s">
        <v>11</v>
      </c>
      <c r="T172" s="134">
        <v>42548</v>
      </c>
      <c r="U172" s="172">
        <f t="shared" si="16"/>
        <v>2016</v>
      </c>
      <c r="V172" s="172">
        <f t="shared" si="17"/>
        <v>6</v>
      </c>
      <c r="W172" s="44" t="s">
        <v>280</v>
      </c>
      <c r="X172" t="s">
        <v>892</v>
      </c>
      <c r="Y172">
        <v>1</v>
      </c>
      <c r="AA172" s="13">
        <f t="shared" si="15"/>
        <v>1283275</v>
      </c>
      <c r="AE172" s="102"/>
      <c r="AM172" s="102"/>
    </row>
    <row r="173" spans="13:39" ht="45" hidden="1" customHeight="1" thickBot="1">
      <c r="M173" s="131">
        <v>25000</v>
      </c>
      <c r="N173" s="136">
        <v>553755</v>
      </c>
      <c r="O173" s="132" t="s">
        <v>244</v>
      </c>
      <c r="P173" s="132" t="s">
        <v>245</v>
      </c>
      <c r="Q173" s="133">
        <v>1341</v>
      </c>
      <c r="R173" s="132" t="s">
        <v>279</v>
      </c>
      <c r="S173" s="132" t="s">
        <v>11</v>
      </c>
      <c r="T173" s="134">
        <v>42548</v>
      </c>
      <c r="U173" s="172">
        <f t="shared" si="16"/>
        <v>2016</v>
      </c>
      <c r="V173" s="172">
        <f t="shared" si="17"/>
        <v>6</v>
      </c>
      <c r="W173" s="44" t="s">
        <v>280</v>
      </c>
      <c r="X173" t="s">
        <v>892</v>
      </c>
      <c r="Y173">
        <v>1</v>
      </c>
      <c r="AA173" s="13">
        <f t="shared" si="15"/>
        <v>1375000</v>
      </c>
      <c r="AE173" s="102"/>
      <c r="AM173" s="102"/>
    </row>
    <row r="174" spans="13:39" ht="45" hidden="1" customHeight="1" thickBot="1">
      <c r="M174" s="131">
        <v>25555</v>
      </c>
      <c r="N174" s="136">
        <v>455962</v>
      </c>
      <c r="O174" s="132" t="s">
        <v>244</v>
      </c>
      <c r="P174" s="132" t="s">
        <v>245</v>
      </c>
      <c r="Q174" s="133">
        <v>1192</v>
      </c>
      <c r="R174" s="132" t="s">
        <v>279</v>
      </c>
      <c r="S174" s="132" t="s">
        <v>11</v>
      </c>
      <c r="T174" s="134">
        <v>42548</v>
      </c>
      <c r="U174" s="172">
        <f t="shared" si="16"/>
        <v>2016</v>
      </c>
      <c r="V174" s="172">
        <f t="shared" si="17"/>
        <v>6</v>
      </c>
      <c r="W174" s="44" t="s">
        <v>280</v>
      </c>
      <c r="X174" t="s">
        <v>892</v>
      </c>
      <c r="Y174">
        <v>1</v>
      </c>
      <c r="AA174" s="13">
        <f t="shared" si="15"/>
        <v>1416625</v>
      </c>
      <c r="AE174" s="102"/>
      <c r="AM174" s="102"/>
    </row>
    <row r="175" spans="13:39" ht="45" hidden="1" customHeight="1" thickBot="1">
      <c r="M175" s="131">
        <v>25565</v>
      </c>
      <c r="N175" s="136">
        <v>567994</v>
      </c>
      <c r="O175" s="132" t="s">
        <v>244</v>
      </c>
      <c r="P175" s="132" t="s">
        <v>245</v>
      </c>
      <c r="Q175" s="133">
        <v>344</v>
      </c>
      <c r="R175" s="132" t="s">
        <v>279</v>
      </c>
      <c r="S175" s="132" t="s">
        <v>11</v>
      </c>
      <c r="T175" s="134">
        <v>42548</v>
      </c>
      <c r="U175" s="172">
        <f t="shared" si="16"/>
        <v>2016</v>
      </c>
      <c r="V175" s="172">
        <f t="shared" si="17"/>
        <v>6</v>
      </c>
      <c r="W175" s="44" t="s">
        <v>280</v>
      </c>
      <c r="X175" t="s">
        <v>892</v>
      </c>
      <c r="Y175">
        <v>1</v>
      </c>
      <c r="AA175" s="13">
        <f t="shared" si="15"/>
        <v>1417375</v>
      </c>
      <c r="AE175" s="102"/>
      <c r="AM175" s="102"/>
    </row>
    <row r="176" spans="13:39" ht="45" hidden="1" customHeight="1" thickBot="1">
      <c r="M176" s="131">
        <v>26181</v>
      </c>
      <c r="N176" s="136">
        <v>568866</v>
      </c>
      <c r="O176" s="132" t="s">
        <v>244</v>
      </c>
      <c r="P176" s="132" t="s">
        <v>245</v>
      </c>
      <c r="Q176" s="133">
        <v>1310</v>
      </c>
      <c r="R176" s="132" t="s">
        <v>279</v>
      </c>
      <c r="S176" s="132" t="s">
        <v>11</v>
      </c>
      <c r="T176" s="134">
        <v>42548</v>
      </c>
      <c r="U176" s="172">
        <f t="shared" si="16"/>
        <v>2016</v>
      </c>
      <c r="V176" s="172">
        <f t="shared" si="17"/>
        <v>6</v>
      </c>
      <c r="W176" s="44" t="s">
        <v>280</v>
      </c>
      <c r="X176" t="s">
        <v>892</v>
      </c>
      <c r="Y176">
        <v>1</v>
      </c>
      <c r="AA176" s="13">
        <f t="shared" si="15"/>
        <v>1463575</v>
      </c>
      <c r="AE176" s="102"/>
      <c r="AM176" s="102"/>
    </row>
    <row r="177" spans="13:39" ht="45" hidden="1" customHeight="1" thickBot="1">
      <c r="M177" s="131">
        <v>27100</v>
      </c>
      <c r="N177" s="136">
        <v>519015</v>
      </c>
      <c r="O177" s="132" t="s">
        <v>244</v>
      </c>
      <c r="P177" s="132" t="s">
        <v>245</v>
      </c>
      <c r="Q177" s="133">
        <v>1411</v>
      </c>
      <c r="R177" s="132" t="s">
        <v>279</v>
      </c>
      <c r="S177" s="132" t="s">
        <v>11</v>
      </c>
      <c r="T177" s="134">
        <v>42548</v>
      </c>
      <c r="U177" s="172">
        <f t="shared" si="16"/>
        <v>2016</v>
      </c>
      <c r="V177" s="172">
        <f t="shared" si="17"/>
        <v>6</v>
      </c>
      <c r="W177" s="44" t="s">
        <v>280</v>
      </c>
      <c r="X177" t="s">
        <v>892</v>
      </c>
      <c r="Y177">
        <v>1</v>
      </c>
      <c r="AA177" s="13">
        <f t="shared" si="15"/>
        <v>1532500</v>
      </c>
      <c r="AE177" s="102"/>
      <c r="AM177" s="102"/>
    </row>
    <row r="178" spans="13:39" ht="45" hidden="1" customHeight="1" thickBot="1">
      <c r="M178" s="131">
        <v>27200</v>
      </c>
      <c r="N178" s="136">
        <v>514458</v>
      </c>
      <c r="O178" s="132" t="s">
        <v>244</v>
      </c>
      <c r="P178" s="132" t="s">
        <v>245</v>
      </c>
      <c r="Q178" s="133">
        <v>1261</v>
      </c>
      <c r="R178" s="132" t="s">
        <v>279</v>
      </c>
      <c r="S178" s="132" t="s">
        <v>11</v>
      </c>
      <c r="T178" s="134">
        <v>42548</v>
      </c>
      <c r="U178" s="172">
        <f t="shared" si="16"/>
        <v>2016</v>
      </c>
      <c r="V178" s="172">
        <f t="shared" si="17"/>
        <v>6</v>
      </c>
      <c r="W178" s="44" t="s">
        <v>280</v>
      </c>
      <c r="X178" t="s">
        <v>892</v>
      </c>
      <c r="Y178">
        <v>1</v>
      </c>
      <c r="AA178" s="13">
        <f t="shared" si="15"/>
        <v>1540000</v>
      </c>
      <c r="AE178" s="102"/>
      <c r="AM178" s="102"/>
    </row>
    <row r="179" spans="13:39" ht="45" hidden="1" customHeight="1" thickBot="1">
      <c r="M179" s="131">
        <v>27775</v>
      </c>
      <c r="N179" s="136">
        <v>528128</v>
      </c>
      <c r="O179" s="132" t="s">
        <v>244</v>
      </c>
      <c r="P179" s="132" t="s">
        <v>245</v>
      </c>
      <c r="Q179" s="133">
        <v>1338</v>
      </c>
      <c r="R179" s="132" t="s">
        <v>279</v>
      </c>
      <c r="S179" s="132" t="s">
        <v>11</v>
      </c>
      <c r="T179" s="134">
        <v>42548</v>
      </c>
      <c r="U179" s="172">
        <f t="shared" si="16"/>
        <v>2016</v>
      </c>
      <c r="V179" s="172">
        <f t="shared" si="17"/>
        <v>6</v>
      </c>
      <c r="W179" s="44" t="s">
        <v>280</v>
      </c>
      <c r="X179" t="s">
        <v>892</v>
      </c>
      <c r="Y179">
        <v>1</v>
      </c>
      <c r="AA179" s="13">
        <f t="shared" si="15"/>
        <v>1583125</v>
      </c>
      <c r="AE179" s="102"/>
      <c r="AM179" s="102"/>
    </row>
    <row r="180" spans="13:39" ht="45" hidden="1" customHeight="1" thickBot="1">
      <c r="M180" s="131">
        <v>28100</v>
      </c>
      <c r="N180" s="136">
        <v>532683</v>
      </c>
      <c r="O180" s="132" t="s">
        <v>244</v>
      </c>
      <c r="P180" s="132" t="s">
        <v>245</v>
      </c>
      <c r="Q180" s="133">
        <v>1512</v>
      </c>
      <c r="R180" s="132" t="s">
        <v>279</v>
      </c>
      <c r="S180" s="132" t="s">
        <v>11</v>
      </c>
      <c r="T180" s="134">
        <v>42548</v>
      </c>
      <c r="U180" s="172">
        <f t="shared" si="16"/>
        <v>2016</v>
      </c>
      <c r="V180" s="172">
        <f t="shared" si="17"/>
        <v>6</v>
      </c>
      <c r="W180" s="44" t="s">
        <v>280</v>
      </c>
      <c r="X180" t="s">
        <v>892</v>
      </c>
      <c r="Y180">
        <v>1</v>
      </c>
      <c r="AA180" s="13">
        <f t="shared" si="15"/>
        <v>1607500</v>
      </c>
      <c r="AE180" s="102"/>
      <c r="AM180" s="102"/>
    </row>
    <row r="181" spans="13:39" ht="45" hidden="1" customHeight="1" thickBot="1">
      <c r="M181" s="131">
        <v>28524</v>
      </c>
      <c r="N181" s="136">
        <v>530975</v>
      </c>
      <c r="O181" s="132" t="s">
        <v>244</v>
      </c>
      <c r="P181" s="132" t="s">
        <v>245</v>
      </c>
      <c r="Q181" s="133">
        <v>1123</v>
      </c>
      <c r="R181" s="132" t="s">
        <v>279</v>
      </c>
      <c r="S181" s="132" t="s">
        <v>11</v>
      </c>
      <c r="T181" s="134">
        <v>42548</v>
      </c>
      <c r="U181" s="172">
        <f t="shared" si="16"/>
        <v>2016</v>
      </c>
      <c r="V181" s="172">
        <f t="shared" si="17"/>
        <v>6</v>
      </c>
      <c r="W181" s="44" t="s">
        <v>280</v>
      </c>
      <c r="X181" t="s">
        <v>892</v>
      </c>
      <c r="Y181">
        <v>1</v>
      </c>
      <c r="AA181" s="13">
        <f t="shared" si="15"/>
        <v>1639300</v>
      </c>
      <c r="AE181" s="102"/>
      <c r="AM181" s="102"/>
    </row>
    <row r="182" spans="13:39" ht="45" hidden="1" customHeight="1" thickBot="1">
      <c r="M182" s="131">
        <v>28816</v>
      </c>
      <c r="N182" s="136">
        <v>468492</v>
      </c>
      <c r="O182" s="132" t="s">
        <v>244</v>
      </c>
      <c r="P182" s="132" t="s">
        <v>245</v>
      </c>
      <c r="Q182" s="133">
        <v>1406</v>
      </c>
      <c r="R182" s="132" t="s">
        <v>279</v>
      </c>
      <c r="S182" s="132" t="s">
        <v>11</v>
      </c>
      <c r="T182" s="134">
        <v>42548</v>
      </c>
      <c r="U182" s="172">
        <f t="shared" si="16"/>
        <v>2016</v>
      </c>
      <c r="V182" s="172">
        <f t="shared" si="17"/>
        <v>6</v>
      </c>
      <c r="W182" s="44" t="s">
        <v>280</v>
      </c>
      <c r="X182" t="s">
        <v>892</v>
      </c>
      <c r="Y182">
        <v>1</v>
      </c>
      <c r="AA182" s="13">
        <f t="shared" si="15"/>
        <v>1661200</v>
      </c>
      <c r="AE182" s="102"/>
      <c r="AM182" s="102"/>
    </row>
    <row r="183" spans="13:39" ht="45" hidden="1" customHeight="1" thickBot="1">
      <c r="M183" s="131">
        <v>29000</v>
      </c>
      <c r="N183" s="136">
        <v>514458</v>
      </c>
      <c r="O183" s="132" t="s">
        <v>244</v>
      </c>
      <c r="P183" s="132" t="s">
        <v>245</v>
      </c>
      <c r="Q183" s="133">
        <v>1240</v>
      </c>
      <c r="R183" s="132" t="s">
        <v>279</v>
      </c>
      <c r="S183" s="132" t="s">
        <v>11</v>
      </c>
      <c r="T183" s="134">
        <v>42548</v>
      </c>
      <c r="U183" s="172">
        <f t="shared" si="16"/>
        <v>2016</v>
      </c>
      <c r="V183" s="172">
        <f t="shared" si="17"/>
        <v>6</v>
      </c>
      <c r="W183" s="44" t="s">
        <v>280</v>
      </c>
      <c r="X183" t="s">
        <v>892</v>
      </c>
      <c r="Y183">
        <v>1</v>
      </c>
      <c r="AA183" s="13">
        <f t="shared" si="15"/>
        <v>1675000</v>
      </c>
      <c r="AE183" s="102"/>
      <c r="AM183" s="102"/>
    </row>
    <row r="184" spans="13:39" ht="45" hidden="1" customHeight="1" thickBot="1">
      <c r="M184" s="131">
        <v>29000</v>
      </c>
      <c r="N184" s="136">
        <v>557173</v>
      </c>
      <c r="O184" s="132" t="s">
        <v>244</v>
      </c>
      <c r="P184" s="132" t="s">
        <v>245</v>
      </c>
      <c r="Q184" s="133">
        <v>1316</v>
      </c>
      <c r="R184" s="132" t="s">
        <v>279</v>
      </c>
      <c r="S184" s="132" t="s">
        <v>11</v>
      </c>
      <c r="T184" s="134">
        <v>42548</v>
      </c>
      <c r="U184" s="172">
        <f t="shared" si="16"/>
        <v>2016</v>
      </c>
      <c r="V184" s="172">
        <f t="shared" si="17"/>
        <v>6</v>
      </c>
      <c r="W184" s="44" t="s">
        <v>280</v>
      </c>
      <c r="X184" t="s">
        <v>892</v>
      </c>
      <c r="Y184">
        <v>1</v>
      </c>
      <c r="AA184" s="13">
        <f t="shared" si="15"/>
        <v>1675000</v>
      </c>
      <c r="AE184" s="102"/>
      <c r="AM184" s="102"/>
    </row>
    <row r="185" spans="13:39" ht="45" hidden="1" customHeight="1" thickBot="1">
      <c r="M185" s="131">
        <v>30000</v>
      </c>
      <c r="N185" s="136">
        <v>468492</v>
      </c>
      <c r="O185" s="132" t="s">
        <v>244</v>
      </c>
      <c r="P185" s="132" t="s">
        <v>245</v>
      </c>
      <c r="Q185" s="133">
        <v>1146</v>
      </c>
      <c r="R185" s="132" t="s">
        <v>279</v>
      </c>
      <c r="S185" s="132" t="s">
        <v>11</v>
      </c>
      <c r="T185" s="134">
        <v>42548</v>
      </c>
      <c r="U185" s="172">
        <f t="shared" si="16"/>
        <v>2016</v>
      </c>
      <c r="V185" s="172">
        <f t="shared" si="17"/>
        <v>6</v>
      </c>
      <c r="W185" s="44" t="s">
        <v>280</v>
      </c>
      <c r="X185" t="s">
        <v>892</v>
      </c>
      <c r="Y185">
        <v>1</v>
      </c>
      <c r="AA185" s="13">
        <f t="shared" si="15"/>
        <v>30000</v>
      </c>
      <c r="AE185" s="102"/>
      <c r="AM185" s="102"/>
    </row>
    <row r="186" spans="13:39" ht="45" hidden="1" customHeight="1" thickBot="1">
      <c r="M186" s="131">
        <v>30000</v>
      </c>
      <c r="N186" s="136">
        <v>514458</v>
      </c>
      <c r="O186" s="132" t="s">
        <v>244</v>
      </c>
      <c r="P186" s="132" t="s">
        <v>245</v>
      </c>
      <c r="Q186" s="133">
        <v>1559</v>
      </c>
      <c r="R186" s="132" t="s">
        <v>279</v>
      </c>
      <c r="S186" s="132" t="s">
        <v>11</v>
      </c>
      <c r="T186" s="134">
        <v>42548</v>
      </c>
      <c r="U186" s="172">
        <f t="shared" si="16"/>
        <v>2016</v>
      </c>
      <c r="V186" s="172">
        <f t="shared" si="17"/>
        <v>6</v>
      </c>
      <c r="W186" s="44" t="s">
        <v>280</v>
      </c>
      <c r="X186" t="s">
        <v>892</v>
      </c>
      <c r="Y186">
        <v>1</v>
      </c>
      <c r="AA186" s="13">
        <f t="shared" si="15"/>
        <v>30000</v>
      </c>
      <c r="AE186" s="102"/>
      <c r="AM186" s="102"/>
    </row>
    <row r="187" spans="13:39" ht="45" hidden="1" customHeight="1" thickBot="1">
      <c r="M187" s="131">
        <v>30000</v>
      </c>
      <c r="N187" s="136">
        <v>599517</v>
      </c>
      <c r="O187" s="132" t="s">
        <v>244</v>
      </c>
      <c r="P187" s="132" t="s">
        <v>245</v>
      </c>
      <c r="Q187" s="133">
        <v>659</v>
      </c>
      <c r="R187" s="132" t="s">
        <v>279</v>
      </c>
      <c r="S187" s="132" t="s">
        <v>11</v>
      </c>
      <c r="T187" s="134">
        <v>42548</v>
      </c>
      <c r="U187" s="172">
        <f t="shared" si="16"/>
        <v>2016</v>
      </c>
      <c r="V187" s="172">
        <f t="shared" si="17"/>
        <v>6</v>
      </c>
      <c r="W187" s="44" t="s">
        <v>280</v>
      </c>
      <c r="X187" t="s">
        <v>892</v>
      </c>
      <c r="Y187">
        <v>1</v>
      </c>
      <c r="AA187" s="13">
        <f t="shared" si="15"/>
        <v>30000</v>
      </c>
      <c r="AE187" s="102"/>
      <c r="AM187" s="102"/>
    </row>
    <row r="188" spans="13:39" ht="45" hidden="1" customHeight="1" thickBot="1">
      <c r="M188" s="131">
        <v>30152</v>
      </c>
      <c r="N188" s="136">
        <v>514458</v>
      </c>
      <c r="O188" s="132" t="s">
        <v>244</v>
      </c>
      <c r="P188" s="132" t="s">
        <v>245</v>
      </c>
      <c r="Q188" s="133">
        <v>1526</v>
      </c>
      <c r="R188" s="132" t="s">
        <v>279</v>
      </c>
      <c r="S188" s="132" t="s">
        <v>11</v>
      </c>
      <c r="T188" s="134">
        <v>42548</v>
      </c>
      <c r="U188" s="172">
        <f t="shared" si="16"/>
        <v>2016</v>
      </c>
      <c r="V188" s="172">
        <f t="shared" si="17"/>
        <v>6</v>
      </c>
      <c r="W188" s="44" t="s">
        <v>280</v>
      </c>
      <c r="X188" t="s">
        <v>892</v>
      </c>
      <c r="Y188">
        <v>1</v>
      </c>
      <c r="AA188" s="13">
        <f t="shared" si="15"/>
        <v>30152</v>
      </c>
      <c r="AE188" s="102"/>
      <c r="AM188" s="102"/>
    </row>
    <row r="189" spans="13:39" ht="45" hidden="1" customHeight="1" thickBot="1">
      <c r="M189" s="131">
        <v>30600</v>
      </c>
      <c r="N189" s="136">
        <v>555464</v>
      </c>
      <c r="O189" s="132" t="s">
        <v>244</v>
      </c>
      <c r="P189" s="132" t="s">
        <v>245</v>
      </c>
      <c r="Q189" s="133">
        <v>1013</v>
      </c>
      <c r="R189" s="132" t="s">
        <v>279</v>
      </c>
      <c r="S189" s="132" t="s">
        <v>11</v>
      </c>
      <c r="T189" s="134">
        <v>42548</v>
      </c>
      <c r="U189" s="172">
        <f t="shared" si="16"/>
        <v>2016</v>
      </c>
      <c r="V189" s="172">
        <f t="shared" si="17"/>
        <v>6</v>
      </c>
      <c r="W189" s="44" t="s">
        <v>280</v>
      </c>
      <c r="X189" t="s">
        <v>892</v>
      </c>
      <c r="Y189">
        <v>1</v>
      </c>
      <c r="AA189" s="13">
        <f t="shared" si="15"/>
        <v>30600</v>
      </c>
      <c r="AE189" s="102"/>
      <c r="AM189" s="102"/>
    </row>
    <row r="190" spans="13:39" ht="45" hidden="1" customHeight="1" thickBot="1">
      <c r="M190" s="131">
        <v>31000</v>
      </c>
      <c r="N190" s="136">
        <v>514458</v>
      </c>
      <c r="O190" s="132" t="s">
        <v>244</v>
      </c>
      <c r="P190" s="132" t="s">
        <v>245</v>
      </c>
      <c r="Q190" s="133">
        <v>1444</v>
      </c>
      <c r="R190" s="132" t="s">
        <v>279</v>
      </c>
      <c r="S190" s="132" t="s">
        <v>11</v>
      </c>
      <c r="T190" s="134">
        <v>42548</v>
      </c>
      <c r="U190" s="172">
        <f t="shared" si="16"/>
        <v>2016</v>
      </c>
      <c r="V190" s="172">
        <f t="shared" si="17"/>
        <v>6</v>
      </c>
      <c r="W190" s="44" t="s">
        <v>280</v>
      </c>
      <c r="X190" t="s">
        <v>892</v>
      </c>
      <c r="Y190">
        <v>1</v>
      </c>
      <c r="AA190" s="13">
        <f t="shared" si="15"/>
        <v>31000</v>
      </c>
      <c r="AE190" s="102"/>
      <c r="AM190" s="102"/>
    </row>
    <row r="191" spans="13:39" ht="45" hidden="1" customHeight="1" thickBot="1">
      <c r="M191" s="131">
        <v>31000</v>
      </c>
      <c r="N191" s="136">
        <v>551781</v>
      </c>
      <c r="O191" s="132" t="s">
        <v>244</v>
      </c>
      <c r="P191" s="132" t="s">
        <v>245</v>
      </c>
      <c r="Q191" s="133">
        <v>1371</v>
      </c>
      <c r="R191" s="132" t="s">
        <v>279</v>
      </c>
      <c r="S191" s="132" t="s">
        <v>11</v>
      </c>
      <c r="T191" s="134">
        <v>42548</v>
      </c>
      <c r="U191" s="172">
        <f t="shared" si="16"/>
        <v>2016</v>
      </c>
      <c r="V191" s="172">
        <f t="shared" si="17"/>
        <v>6</v>
      </c>
      <c r="W191" s="44" t="s">
        <v>280</v>
      </c>
      <c r="X191" t="s">
        <v>892</v>
      </c>
      <c r="Y191">
        <v>1</v>
      </c>
      <c r="AA191" s="13">
        <f t="shared" si="15"/>
        <v>31000</v>
      </c>
      <c r="AE191" s="102"/>
      <c r="AM191" s="102"/>
    </row>
    <row r="192" spans="13:39" ht="45" hidden="1" customHeight="1" thickBot="1">
      <c r="M192" s="131">
        <v>31250</v>
      </c>
      <c r="N192" s="136">
        <v>514458</v>
      </c>
      <c r="O192" s="132" t="s">
        <v>244</v>
      </c>
      <c r="P192" s="132" t="s">
        <v>245</v>
      </c>
      <c r="Q192" s="133">
        <v>1511</v>
      </c>
      <c r="R192" s="132" t="s">
        <v>279</v>
      </c>
      <c r="S192" s="132" t="s">
        <v>11</v>
      </c>
      <c r="T192" s="134">
        <v>42548</v>
      </c>
      <c r="U192" s="172">
        <f t="shared" si="16"/>
        <v>2016</v>
      </c>
      <c r="V192" s="172">
        <f t="shared" si="17"/>
        <v>6</v>
      </c>
      <c r="W192" s="44" t="s">
        <v>280</v>
      </c>
      <c r="X192" t="s">
        <v>892</v>
      </c>
      <c r="Y192">
        <v>1</v>
      </c>
      <c r="AA192" s="13">
        <f t="shared" si="15"/>
        <v>31250</v>
      </c>
      <c r="AE192" s="102"/>
      <c r="AM192" s="102"/>
    </row>
    <row r="193" spans="2:39" ht="45" hidden="1" customHeight="1" thickBot="1">
      <c r="B193" s="41"/>
      <c r="C193" s="41"/>
      <c r="D193" s="41"/>
      <c r="E193" s="41"/>
      <c r="F193" s="41"/>
      <c r="G193" s="41"/>
      <c r="H193" s="41"/>
      <c r="I193" s="41"/>
      <c r="M193" s="131">
        <v>31360</v>
      </c>
      <c r="N193" s="136">
        <v>519317</v>
      </c>
      <c r="O193" s="132" t="s">
        <v>244</v>
      </c>
      <c r="P193" s="132" t="s">
        <v>245</v>
      </c>
      <c r="Q193" s="133">
        <v>1386</v>
      </c>
      <c r="R193" s="132" t="s">
        <v>279</v>
      </c>
      <c r="S193" s="132" t="s">
        <v>11</v>
      </c>
      <c r="T193" s="134">
        <v>42548</v>
      </c>
      <c r="U193" s="172">
        <f t="shared" si="16"/>
        <v>2016</v>
      </c>
      <c r="V193" s="172">
        <f t="shared" si="17"/>
        <v>6</v>
      </c>
      <c r="W193" s="44" t="s">
        <v>280</v>
      </c>
      <c r="X193" t="s">
        <v>892</v>
      </c>
      <c r="Y193">
        <v>1</v>
      </c>
      <c r="AA193" s="13">
        <f t="shared" si="15"/>
        <v>31360</v>
      </c>
      <c r="AE193" s="102"/>
      <c r="AM193" s="102"/>
    </row>
    <row r="194" spans="2:39" ht="45" hidden="1" customHeight="1" thickBot="1">
      <c r="M194" s="131">
        <v>31510</v>
      </c>
      <c r="N194" s="136">
        <v>468492</v>
      </c>
      <c r="O194" s="132" t="s">
        <v>244</v>
      </c>
      <c r="P194" s="132" t="s">
        <v>245</v>
      </c>
      <c r="Q194" s="133">
        <v>1401</v>
      </c>
      <c r="R194" s="132" t="s">
        <v>279</v>
      </c>
      <c r="S194" s="132" t="s">
        <v>11</v>
      </c>
      <c r="T194" s="134">
        <v>42548</v>
      </c>
      <c r="U194" s="172">
        <f t="shared" si="16"/>
        <v>2016</v>
      </c>
      <c r="V194" s="172">
        <f t="shared" si="17"/>
        <v>6</v>
      </c>
      <c r="W194" s="44" t="s">
        <v>280</v>
      </c>
      <c r="X194" t="s">
        <v>892</v>
      </c>
      <c r="Y194">
        <v>1</v>
      </c>
      <c r="AA194" s="13">
        <f t="shared" si="15"/>
        <v>31510</v>
      </c>
      <c r="AE194" s="102"/>
      <c r="AM194" s="102"/>
    </row>
    <row r="195" spans="2:39" ht="45" hidden="1" customHeight="1" thickBot="1">
      <c r="M195" s="131">
        <v>31900</v>
      </c>
      <c r="N195" s="136">
        <v>525279</v>
      </c>
      <c r="O195" s="132" t="s">
        <v>244</v>
      </c>
      <c r="P195" s="132" t="s">
        <v>245</v>
      </c>
      <c r="Q195" s="133">
        <v>1101</v>
      </c>
      <c r="R195" s="132" t="s">
        <v>279</v>
      </c>
      <c r="S195" s="132" t="s">
        <v>11</v>
      </c>
      <c r="T195" s="134">
        <v>42548</v>
      </c>
      <c r="U195" s="172">
        <f t="shared" si="16"/>
        <v>2016</v>
      </c>
      <c r="V195" s="172">
        <f t="shared" si="17"/>
        <v>6</v>
      </c>
      <c r="W195" s="44" t="s">
        <v>280</v>
      </c>
      <c r="X195" t="s">
        <v>892</v>
      </c>
      <c r="Y195">
        <v>1</v>
      </c>
      <c r="AA195" s="13">
        <f t="shared" si="15"/>
        <v>31900</v>
      </c>
      <c r="AE195" s="102"/>
      <c r="AM195" s="102"/>
    </row>
    <row r="196" spans="2:39" ht="45" hidden="1" customHeight="1" thickBot="1">
      <c r="M196" s="131">
        <v>32100</v>
      </c>
      <c r="N196" s="136">
        <v>545782</v>
      </c>
      <c r="O196" s="132" t="s">
        <v>244</v>
      </c>
      <c r="P196" s="132" t="s">
        <v>245</v>
      </c>
      <c r="Q196" s="133">
        <v>1464</v>
      </c>
      <c r="R196" s="132" t="s">
        <v>279</v>
      </c>
      <c r="S196" s="132" t="s">
        <v>11</v>
      </c>
      <c r="T196" s="134">
        <v>42548</v>
      </c>
      <c r="U196" s="172">
        <f t="shared" si="16"/>
        <v>2016</v>
      </c>
      <c r="V196" s="172">
        <f t="shared" si="17"/>
        <v>6</v>
      </c>
      <c r="W196" s="44" t="s">
        <v>280</v>
      </c>
      <c r="X196" t="s">
        <v>892</v>
      </c>
      <c r="Y196">
        <v>1</v>
      </c>
      <c r="AA196" s="13">
        <f t="shared" ref="AA196:AA259" si="18">IF(M196&lt;30000,Y196*100*M196*(1-$L$1)-$L$2*Y196,M196)</f>
        <v>32100</v>
      </c>
      <c r="AE196" s="102"/>
      <c r="AM196" s="102"/>
    </row>
    <row r="197" spans="2:39" ht="45" hidden="1" customHeight="1" thickBot="1">
      <c r="M197" s="131">
        <v>32190</v>
      </c>
      <c r="N197" s="136">
        <v>541796</v>
      </c>
      <c r="O197" s="132" t="s">
        <v>244</v>
      </c>
      <c r="P197" s="132" t="s">
        <v>245</v>
      </c>
      <c r="Q197" s="133">
        <v>1419</v>
      </c>
      <c r="R197" s="132" t="s">
        <v>279</v>
      </c>
      <c r="S197" s="132" t="s">
        <v>11</v>
      </c>
      <c r="T197" s="134">
        <v>42548</v>
      </c>
      <c r="U197" s="172">
        <f t="shared" si="16"/>
        <v>2016</v>
      </c>
      <c r="V197" s="172">
        <f t="shared" si="17"/>
        <v>6</v>
      </c>
      <c r="W197" s="44" t="s">
        <v>280</v>
      </c>
      <c r="X197" t="s">
        <v>892</v>
      </c>
      <c r="Y197">
        <v>1</v>
      </c>
      <c r="AA197" s="13">
        <f t="shared" si="18"/>
        <v>32190</v>
      </c>
      <c r="AE197" s="102"/>
      <c r="AM197" s="102"/>
    </row>
    <row r="198" spans="2:39" ht="45" hidden="1" customHeight="1" thickBot="1">
      <c r="M198" s="131">
        <v>32950</v>
      </c>
      <c r="N198" s="136">
        <v>488873</v>
      </c>
      <c r="O198" s="132" t="s">
        <v>244</v>
      </c>
      <c r="P198" s="132" t="s">
        <v>245</v>
      </c>
      <c r="Q198" s="133">
        <v>326</v>
      </c>
      <c r="R198" s="132" t="s">
        <v>279</v>
      </c>
      <c r="S198" s="132" t="s">
        <v>11</v>
      </c>
      <c r="T198" s="134">
        <v>42246</v>
      </c>
      <c r="U198" s="172">
        <f t="shared" si="16"/>
        <v>2015</v>
      </c>
      <c r="V198" s="172">
        <f t="shared" si="17"/>
        <v>8</v>
      </c>
      <c r="W198" s="44" t="s">
        <v>291</v>
      </c>
      <c r="X198" t="s">
        <v>892</v>
      </c>
      <c r="Y198">
        <v>1</v>
      </c>
      <c r="AA198" s="13">
        <f t="shared" si="18"/>
        <v>32950</v>
      </c>
      <c r="AE198" s="102"/>
      <c r="AM198" s="102"/>
    </row>
    <row r="199" spans="2:39" hidden="1">
      <c r="M199" s="131">
        <v>33000</v>
      </c>
      <c r="N199" s="136">
        <v>461658</v>
      </c>
      <c r="O199" s="132" t="s">
        <v>244</v>
      </c>
      <c r="P199" s="132" t="s">
        <v>245</v>
      </c>
      <c r="Q199" s="133">
        <v>1257</v>
      </c>
      <c r="R199" s="132" t="s">
        <v>279</v>
      </c>
      <c r="S199" s="132" t="s">
        <v>11</v>
      </c>
      <c r="T199" s="134">
        <v>42548</v>
      </c>
      <c r="U199" s="172">
        <f t="shared" ref="U199:U262" si="19">YEAR($T199)</f>
        <v>2016</v>
      </c>
      <c r="V199" s="172">
        <f t="shared" ref="V199:V262" si="20">MONTH($T199)</f>
        <v>6</v>
      </c>
      <c r="W199" s="44" t="s">
        <v>280</v>
      </c>
      <c r="X199" t="s">
        <v>892</v>
      </c>
      <c r="Y199">
        <v>1</v>
      </c>
      <c r="AA199" s="13">
        <f t="shared" si="18"/>
        <v>33000</v>
      </c>
      <c r="AE199" s="43"/>
      <c r="AL199" s="93"/>
    </row>
    <row r="200" spans="2:39" hidden="1">
      <c r="M200" s="131">
        <v>33000</v>
      </c>
      <c r="N200" s="136">
        <v>486717</v>
      </c>
      <c r="O200" s="132" t="s">
        <v>244</v>
      </c>
      <c r="P200" s="132" t="s">
        <v>245</v>
      </c>
      <c r="Q200" s="133">
        <v>1539</v>
      </c>
      <c r="R200" s="132" t="s">
        <v>279</v>
      </c>
      <c r="S200" s="132" t="s">
        <v>11</v>
      </c>
      <c r="T200" s="134">
        <v>42548</v>
      </c>
      <c r="U200" s="172">
        <f t="shared" si="19"/>
        <v>2016</v>
      </c>
      <c r="V200" s="172">
        <f t="shared" si="20"/>
        <v>6</v>
      </c>
      <c r="W200" s="44" t="s">
        <v>280</v>
      </c>
      <c r="X200" t="s">
        <v>892</v>
      </c>
      <c r="Y200">
        <v>1</v>
      </c>
      <c r="AA200" s="13">
        <f t="shared" si="18"/>
        <v>33000</v>
      </c>
      <c r="AE200" s="43"/>
      <c r="AL200" s="93"/>
    </row>
    <row r="201" spans="2:39" hidden="1">
      <c r="M201" s="131">
        <v>33000</v>
      </c>
      <c r="N201" s="136">
        <v>514458</v>
      </c>
      <c r="O201" s="132" t="s">
        <v>244</v>
      </c>
      <c r="P201" s="132" t="s">
        <v>245</v>
      </c>
      <c r="Q201" s="133">
        <v>1443</v>
      </c>
      <c r="R201" s="132" t="s">
        <v>279</v>
      </c>
      <c r="S201" s="132" t="s">
        <v>11</v>
      </c>
      <c r="T201" s="134">
        <v>42548</v>
      </c>
      <c r="U201" s="172">
        <f t="shared" si="19"/>
        <v>2016</v>
      </c>
      <c r="V201" s="172">
        <f t="shared" si="20"/>
        <v>6</v>
      </c>
      <c r="W201" s="44" t="s">
        <v>280</v>
      </c>
      <c r="X201" t="s">
        <v>892</v>
      </c>
      <c r="Y201">
        <v>1</v>
      </c>
      <c r="AA201" s="13">
        <f t="shared" si="18"/>
        <v>33000</v>
      </c>
      <c r="AE201" s="43"/>
      <c r="AL201" s="93"/>
    </row>
    <row r="202" spans="2:39" hidden="1">
      <c r="M202" s="131">
        <v>33100</v>
      </c>
      <c r="N202" s="136">
        <v>542364</v>
      </c>
      <c r="O202" s="132" t="s">
        <v>244</v>
      </c>
      <c r="P202" s="132" t="s">
        <v>245</v>
      </c>
      <c r="Q202" s="133">
        <v>1573</v>
      </c>
      <c r="R202" s="132" t="s">
        <v>279</v>
      </c>
      <c r="S202" s="132" t="s">
        <v>11</v>
      </c>
      <c r="T202" s="134">
        <v>42548</v>
      </c>
      <c r="U202" s="172">
        <f t="shared" si="19"/>
        <v>2016</v>
      </c>
      <c r="V202" s="172">
        <f t="shared" si="20"/>
        <v>6</v>
      </c>
      <c r="W202" s="44" t="s">
        <v>280</v>
      </c>
      <c r="X202" t="s">
        <v>892</v>
      </c>
      <c r="Y202">
        <v>1</v>
      </c>
      <c r="AA202" s="13">
        <f t="shared" si="18"/>
        <v>33100</v>
      </c>
      <c r="AE202" s="43"/>
      <c r="AL202" s="93"/>
    </row>
    <row r="203" spans="2:39" hidden="1">
      <c r="M203" s="131">
        <v>33180</v>
      </c>
      <c r="N203" s="136">
        <v>535530</v>
      </c>
      <c r="O203" s="132" t="s">
        <v>244</v>
      </c>
      <c r="P203" s="132" t="s">
        <v>245</v>
      </c>
      <c r="Q203" s="133">
        <v>1425</v>
      </c>
      <c r="R203" s="132" t="s">
        <v>279</v>
      </c>
      <c r="S203" s="132" t="s">
        <v>11</v>
      </c>
      <c r="T203" s="134">
        <v>42548</v>
      </c>
      <c r="U203" s="172">
        <f t="shared" si="19"/>
        <v>2016</v>
      </c>
      <c r="V203" s="172">
        <f t="shared" si="20"/>
        <v>6</v>
      </c>
      <c r="W203" s="44" t="s">
        <v>280</v>
      </c>
      <c r="X203" t="s">
        <v>892</v>
      </c>
      <c r="Y203">
        <v>1</v>
      </c>
      <c r="AA203" s="13">
        <f t="shared" si="18"/>
        <v>33180</v>
      </c>
      <c r="AE203" s="43"/>
      <c r="AL203" s="93"/>
    </row>
    <row r="204" spans="2:39" hidden="1">
      <c r="M204" s="131">
        <v>33500</v>
      </c>
      <c r="N204" s="136">
        <v>563170</v>
      </c>
      <c r="O204" s="132" t="s">
        <v>244</v>
      </c>
      <c r="P204" s="132" t="s">
        <v>245</v>
      </c>
      <c r="Q204" s="133">
        <v>1372</v>
      </c>
      <c r="R204" s="132" t="s">
        <v>279</v>
      </c>
      <c r="S204" s="132" t="s">
        <v>11</v>
      </c>
      <c r="T204" s="134">
        <v>42548</v>
      </c>
      <c r="U204" s="172">
        <f t="shared" si="19"/>
        <v>2016</v>
      </c>
      <c r="V204" s="172">
        <f t="shared" si="20"/>
        <v>6</v>
      </c>
      <c r="W204" s="44" t="s">
        <v>280</v>
      </c>
      <c r="X204" t="s">
        <v>892</v>
      </c>
      <c r="Y204">
        <v>1</v>
      </c>
      <c r="AA204" s="13">
        <f t="shared" si="18"/>
        <v>33500</v>
      </c>
      <c r="AE204" s="43"/>
      <c r="AL204" s="93"/>
    </row>
    <row r="205" spans="2:39" hidden="1">
      <c r="M205" s="131">
        <v>34000</v>
      </c>
      <c r="N205" s="136">
        <v>486394</v>
      </c>
      <c r="O205" s="132" t="s">
        <v>244</v>
      </c>
      <c r="P205" s="132" t="s">
        <v>245</v>
      </c>
      <c r="Q205" s="133">
        <v>518</v>
      </c>
      <c r="R205" s="132" t="s">
        <v>279</v>
      </c>
      <c r="S205" s="132" t="s">
        <v>11</v>
      </c>
      <c r="T205" s="134">
        <v>42246</v>
      </c>
      <c r="U205" s="172">
        <f t="shared" si="19"/>
        <v>2015</v>
      </c>
      <c r="V205" s="172">
        <f t="shared" si="20"/>
        <v>8</v>
      </c>
      <c r="W205" s="44" t="s">
        <v>291</v>
      </c>
      <c r="X205" t="s">
        <v>892</v>
      </c>
      <c r="Y205">
        <v>1</v>
      </c>
      <c r="AA205" s="13">
        <f t="shared" si="18"/>
        <v>34000</v>
      </c>
      <c r="AE205" s="43"/>
      <c r="AL205" s="93"/>
    </row>
    <row r="206" spans="2:39" hidden="1">
      <c r="M206" s="131">
        <v>34010</v>
      </c>
      <c r="N206" s="136">
        <v>480447</v>
      </c>
      <c r="O206" s="132" t="s">
        <v>244</v>
      </c>
      <c r="P206" s="132" t="s">
        <v>245</v>
      </c>
      <c r="Q206" s="133">
        <v>145</v>
      </c>
      <c r="R206" s="132" t="s">
        <v>279</v>
      </c>
      <c r="S206" s="132" t="s">
        <v>11</v>
      </c>
      <c r="T206" s="134">
        <v>42246</v>
      </c>
      <c r="U206" s="172">
        <f t="shared" si="19"/>
        <v>2015</v>
      </c>
      <c r="V206" s="172">
        <f t="shared" si="20"/>
        <v>8</v>
      </c>
      <c r="W206" s="44" t="s">
        <v>291</v>
      </c>
      <c r="X206" t="s">
        <v>892</v>
      </c>
      <c r="Y206">
        <v>1</v>
      </c>
      <c r="AA206" s="13">
        <f t="shared" si="18"/>
        <v>34010</v>
      </c>
      <c r="AE206" s="43"/>
      <c r="AL206" s="93"/>
    </row>
    <row r="207" spans="2:39" hidden="1">
      <c r="M207" s="131">
        <v>34020</v>
      </c>
      <c r="N207" s="136">
        <v>455962</v>
      </c>
      <c r="O207" s="132" t="s">
        <v>244</v>
      </c>
      <c r="P207" s="132" t="s">
        <v>245</v>
      </c>
      <c r="Q207" s="133">
        <v>1195</v>
      </c>
      <c r="R207" s="132" t="s">
        <v>279</v>
      </c>
      <c r="S207" s="132" t="s">
        <v>11</v>
      </c>
      <c r="T207" s="134">
        <v>42548</v>
      </c>
      <c r="U207" s="172">
        <f t="shared" si="19"/>
        <v>2016</v>
      </c>
      <c r="V207" s="172">
        <f t="shared" si="20"/>
        <v>6</v>
      </c>
      <c r="W207" s="44" t="s">
        <v>280</v>
      </c>
      <c r="X207" t="s">
        <v>892</v>
      </c>
      <c r="Y207">
        <v>1</v>
      </c>
      <c r="AA207" s="13">
        <f t="shared" si="18"/>
        <v>34020</v>
      </c>
      <c r="AE207" s="43"/>
      <c r="AL207" s="93"/>
    </row>
    <row r="208" spans="2:39" hidden="1">
      <c r="M208" s="131">
        <v>34170</v>
      </c>
      <c r="N208" s="136">
        <v>506218</v>
      </c>
      <c r="O208" s="132" t="s">
        <v>244</v>
      </c>
      <c r="P208" s="132" t="s">
        <v>245</v>
      </c>
      <c r="Q208" s="133">
        <v>1381</v>
      </c>
      <c r="R208" s="132" t="s">
        <v>279</v>
      </c>
      <c r="S208" s="132" t="s">
        <v>11</v>
      </c>
      <c r="T208" s="134">
        <v>42548</v>
      </c>
      <c r="U208" s="172">
        <f t="shared" si="19"/>
        <v>2016</v>
      </c>
      <c r="V208" s="172">
        <f t="shared" si="20"/>
        <v>6</v>
      </c>
      <c r="W208" s="44" t="s">
        <v>280</v>
      </c>
      <c r="X208" t="s">
        <v>892</v>
      </c>
      <c r="Y208">
        <v>1</v>
      </c>
      <c r="AA208" s="13">
        <f t="shared" si="18"/>
        <v>34170</v>
      </c>
      <c r="AE208" s="43"/>
      <c r="AL208" s="93"/>
    </row>
    <row r="209" spans="13:38" hidden="1">
      <c r="M209" s="131">
        <v>34529</v>
      </c>
      <c r="N209" s="136">
        <v>481934</v>
      </c>
      <c r="O209" s="132" t="s">
        <v>244</v>
      </c>
      <c r="P209" s="132" t="s">
        <v>245</v>
      </c>
      <c r="Q209" s="133">
        <v>331</v>
      </c>
      <c r="R209" s="132" t="s">
        <v>279</v>
      </c>
      <c r="S209" s="132" t="s">
        <v>11</v>
      </c>
      <c r="T209" s="134">
        <v>42246</v>
      </c>
      <c r="U209" s="172">
        <f t="shared" si="19"/>
        <v>2015</v>
      </c>
      <c r="V209" s="172">
        <f t="shared" si="20"/>
        <v>8</v>
      </c>
      <c r="W209" s="44" t="s">
        <v>291</v>
      </c>
      <c r="X209" t="s">
        <v>892</v>
      </c>
      <c r="Y209">
        <v>1</v>
      </c>
      <c r="AA209" s="13">
        <f t="shared" si="18"/>
        <v>34529</v>
      </c>
      <c r="AE209" s="43"/>
      <c r="AL209" s="93"/>
    </row>
    <row r="210" spans="13:38" hidden="1">
      <c r="M210" s="131">
        <v>35000</v>
      </c>
      <c r="N210" s="136">
        <v>451976</v>
      </c>
      <c r="O210" s="132" t="s">
        <v>244</v>
      </c>
      <c r="P210" s="132" t="s">
        <v>245</v>
      </c>
      <c r="Q210" s="133">
        <v>1398</v>
      </c>
      <c r="R210" s="132" t="s">
        <v>279</v>
      </c>
      <c r="S210" s="132" t="s">
        <v>11</v>
      </c>
      <c r="T210" s="134">
        <v>42548</v>
      </c>
      <c r="U210" s="172">
        <f t="shared" si="19"/>
        <v>2016</v>
      </c>
      <c r="V210" s="172">
        <f t="shared" si="20"/>
        <v>6</v>
      </c>
      <c r="W210" s="44" t="s">
        <v>280</v>
      </c>
      <c r="X210" t="s">
        <v>892</v>
      </c>
      <c r="Y210">
        <v>1</v>
      </c>
      <c r="AA210" s="13">
        <f t="shared" si="18"/>
        <v>35000</v>
      </c>
      <c r="AE210" s="43"/>
      <c r="AL210" s="93"/>
    </row>
    <row r="211" spans="13:38" hidden="1">
      <c r="M211" s="131">
        <v>35000</v>
      </c>
      <c r="N211" s="136">
        <v>543504</v>
      </c>
      <c r="O211" s="132" t="s">
        <v>244</v>
      </c>
      <c r="P211" s="132" t="s">
        <v>245</v>
      </c>
      <c r="Q211" s="133">
        <v>1319</v>
      </c>
      <c r="R211" s="132" t="s">
        <v>279</v>
      </c>
      <c r="S211" s="132" t="s">
        <v>11</v>
      </c>
      <c r="T211" s="134">
        <v>42548</v>
      </c>
      <c r="U211" s="172">
        <f t="shared" si="19"/>
        <v>2016</v>
      </c>
      <c r="V211" s="172">
        <f t="shared" si="20"/>
        <v>6</v>
      </c>
      <c r="W211" s="44" t="s">
        <v>280</v>
      </c>
      <c r="X211" t="s">
        <v>892</v>
      </c>
      <c r="Y211">
        <v>1</v>
      </c>
      <c r="AA211" s="13">
        <f t="shared" si="18"/>
        <v>35000</v>
      </c>
      <c r="AE211" s="43"/>
      <c r="AL211" s="93"/>
    </row>
    <row r="212" spans="13:38" hidden="1">
      <c r="M212" s="131">
        <v>35180</v>
      </c>
      <c r="N212" s="136">
        <v>568866</v>
      </c>
      <c r="O212" s="132" t="s">
        <v>244</v>
      </c>
      <c r="P212" s="132" t="s">
        <v>245</v>
      </c>
      <c r="Q212" s="133">
        <v>1312</v>
      </c>
      <c r="R212" s="132" t="s">
        <v>279</v>
      </c>
      <c r="S212" s="132" t="s">
        <v>11</v>
      </c>
      <c r="T212" s="134">
        <v>42548</v>
      </c>
      <c r="U212" s="172">
        <f t="shared" si="19"/>
        <v>2016</v>
      </c>
      <c r="V212" s="172">
        <f t="shared" si="20"/>
        <v>6</v>
      </c>
      <c r="W212" s="44" t="s">
        <v>280</v>
      </c>
      <c r="X212" t="s">
        <v>892</v>
      </c>
      <c r="Y212">
        <v>1</v>
      </c>
      <c r="AA212" s="13">
        <f t="shared" si="18"/>
        <v>35180</v>
      </c>
      <c r="AE212" s="43"/>
      <c r="AL212" s="93"/>
    </row>
    <row r="213" spans="13:38" hidden="1">
      <c r="M213" s="131">
        <v>35555</v>
      </c>
      <c r="N213" s="136">
        <v>571145</v>
      </c>
      <c r="O213" s="132" t="s">
        <v>244</v>
      </c>
      <c r="P213" s="132" t="s">
        <v>245</v>
      </c>
      <c r="Q213" s="133">
        <v>1298</v>
      </c>
      <c r="R213" s="132" t="s">
        <v>279</v>
      </c>
      <c r="S213" s="132" t="s">
        <v>11</v>
      </c>
      <c r="T213" s="134">
        <v>42548</v>
      </c>
      <c r="U213" s="172">
        <f t="shared" si="19"/>
        <v>2016</v>
      </c>
      <c r="V213" s="172">
        <f t="shared" si="20"/>
        <v>6</v>
      </c>
      <c r="W213" s="44" t="s">
        <v>280</v>
      </c>
      <c r="X213" t="s">
        <v>892</v>
      </c>
      <c r="Y213">
        <v>1</v>
      </c>
      <c r="AA213" s="13">
        <f t="shared" si="18"/>
        <v>35555</v>
      </c>
      <c r="AE213" s="43"/>
      <c r="AL213" s="93"/>
    </row>
    <row r="214" spans="13:38" hidden="1">
      <c r="M214" s="131">
        <v>35767</v>
      </c>
      <c r="N214" s="136">
        <v>473618</v>
      </c>
      <c r="O214" s="132" t="s">
        <v>244</v>
      </c>
      <c r="P214" s="132" t="s">
        <v>245</v>
      </c>
      <c r="Q214" s="133">
        <v>1366</v>
      </c>
      <c r="R214" s="132" t="s">
        <v>279</v>
      </c>
      <c r="S214" s="132" t="s">
        <v>11</v>
      </c>
      <c r="T214" s="134">
        <v>42548</v>
      </c>
      <c r="U214" s="172">
        <f t="shared" si="19"/>
        <v>2016</v>
      </c>
      <c r="V214" s="172">
        <f t="shared" si="20"/>
        <v>6</v>
      </c>
      <c r="W214" s="44" t="s">
        <v>280</v>
      </c>
      <c r="X214" t="s">
        <v>892</v>
      </c>
      <c r="Y214">
        <v>1</v>
      </c>
      <c r="AA214" s="13">
        <f t="shared" si="18"/>
        <v>35767</v>
      </c>
      <c r="AE214" s="43"/>
      <c r="AL214" s="93"/>
    </row>
    <row r="215" spans="13:38" hidden="1">
      <c r="M215" s="131">
        <v>35995</v>
      </c>
      <c r="N215" s="136">
        <v>484908</v>
      </c>
      <c r="O215" s="132" t="s">
        <v>244</v>
      </c>
      <c r="P215" s="132" t="s">
        <v>245</v>
      </c>
      <c r="Q215" s="133">
        <v>43</v>
      </c>
      <c r="R215" s="132" t="s">
        <v>279</v>
      </c>
      <c r="S215" s="132" t="s">
        <v>11</v>
      </c>
      <c r="T215" s="134">
        <v>42246</v>
      </c>
      <c r="U215" s="172">
        <f t="shared" si="19"/>
        <v>2015</v>
      </c>
      <c r="V215" s="172">
        <f t="shared" si="20"/>
        <v>8</v>
      </c>
      <c r="W215" s="44" t="s">
        <v>291</v>
      </c>
      <c r="X215" t="s">
        <v>892</v>
      </c>
      <c r="Y215">
        <v>1</v>
      </c>
      <c r="AA215" s="13">
        <f t="shared" si="18"/>
        <v>35995</v>
      </c>
      <c r="AE215" s="43"/>
      <c r="AL215" s="93"/>
    </row>
    <row r="216" spans="13:38" hidden="1">
      <c r="M216" s="131">
        <v>36000</v>
      </c>
      <c r="N216" s="136">
        <v>567994</v>
      </c>
      <c r="O216" s="132" t="s">
        <v>244</v>
      </c>
      <c r="P216" s="132" t="s">
        <v>245</v>
      </c>
      <c r="Q216" s="133">
        <v>277</v>
      </c>
      <c r="R216" s="132" t="s">
        <v>279</v>
      </c>
      <c r="S216" s="132" t="s">
        <v>11</v>
      </c>
      <c r="T216" s="134">
        <v>42548</v>
      </c>
      <c r="U216" s="172">
        <f t="shared" si="19"/>
        <v>2016</v>
      </c>
      <c r="V216" s="172">
        <f t="shared" si="20"/>
        <v>6</v>
      </c>
      <c r="W216" s="44" t="s">
        <v>280</v>
      </c>
      <c r="X216" t="s">
        <v>892</v>
      </c>
      <c r="Y216">
        <v>1</v>
      </c>
      <c r="AA216" s="13">
        <f t="shared" si="18"/>
        <v>36000</v>
      </c>
      <c r="AE216" s="43"/>
      <c r="AL216" s="93"/>
    </row>
    <row r="217" spans="13:38" hidden="1">
      <c r="M217" s="131">
        <v>36110</v>
      </c>
      <c r="N217" s="136">
        <v>482430</v>
      </c>
      <c r="O217" s="132" t="s">
        <v>244</v>
      </c>
      <c r="P217" s="132" t="s">
        <v>245</v>
      </c>
      <c r="Q217" s="133">
        <v>87</v>
      </c>
      <c r="R217" s="132" t="s">
        <v>279</v>
      </c>
      <c r="S217" s="132" t="s">
        <v>11</v>
      </c>
      <c r="T217" s="134">
        <v>42246</v>
      </c>
      <c r="U217" s="172">
        <f t="shared" si="19"/>
        <v>2015</v>
      </c>
      <c r="V217" s="172">
        <f t="shared" si="20"/>
        <v>8</v>
      </c>
      <c r="W217" s="44" t="s">
        <v>291</v>
      </c>
      <c r="X217" t="s">
        <v>892</v>
      </c>
      <c r="Y217">
        <v>1</v>
      </c>
      <c r="AA217" s="13">
        <f t="shared" si="18"/>
        <v>36110</v>
      </c>
      <c r="AE217" s="43"/>
      <c r="AL217" s="93"/>
    </row>
    <row r="218" spans="13:38" hidden="1">
      <c r="M218" s="131">
        <v>36126</v>
      </c>
      <c r="N218" s="136">
        <v>492837</v>
      </c>
      <c r="O218" s="132" t="s">
        <v>244</v>
      </c>
      <c r="P218" s="132" t="s">
        <v>245</v>
      </c>
      <c r="Q218" s="133">
        <v>208</v>
      </c>
      <c r="R218" s="132" t="s">
        <v>279</v>
      </c>
      <c r="S218" s="132" t="s">
        <v>11</v>
      </c>
      <c r="T218" s="134">
        <v>42246</v>
      </c>
      <c r="U218" s="172">
        <f t="shared" si="19"/>
        <v>2015</v>
      </c>
      <c r="V218" s="172">
        <f t="shared" si="20"/>
        <v>8</v>
      </c>
      <c r="W218" s="44" t="s">
        <v>291</v>
      </c>
      <c r="X218" t="s">
        <v>892</v>
      </c>
      <c r="Y218">
        <v>1</v>
      </c>
      <c r="AA218" s="13">
        <f t="shared" si="18"/>
        <v>36126</v>
      </c>
      <c r="AE218" s="43"/>
      <c r="AL218" s="93"/>
    </row>
    <row r="219" spans="13:38" hidden="1">
      <c r="M219" s="131">
        <v>36260</v>
      </c>
      <c r="N219" s="136">
        <v>541796</v>
      </c>
      <c r="O219" s="132" t="s">
        <v>244</v>
      </c>
      <c r="P219" s="132" t="s">
        <v>245</v>
      </c>
      <c r="Q219" s="133">
        <v>1339</v>
      </c>
      <c r="R219" s="132" t="s">
        <v>279</v>
      </c>
      <c r="S219" s="132" t="s">
        <v>11</v>
      </c>
      <c r="T219" s="134">
        <v>42548</v>
      </c>
      <c r="U219" s="172">
        <f t="shared" si="19"/>
        <v>2016</v>
      </c>
      <c r="V219" s="172">
        <f t="shared" si="20"/>
        <v>6</v>
      </c>
      <c r="W219" s="44" t="s">
        <v>280</v>
      </c>
      <c r="X219" t="s">
        <v>892</v>
      </c>
      <c r="Y219">
        <v>1</v>
      </c>
      <c r="AA219" s="13">
        <f t="shared" si="18"/>
        <v>36260</v>
      </c>
      <c r="AE219" s="43"/>
      <c r="AL219" s="93"/>
    </row>
    <row r="220" spans="13:38" hidden="1">
      <c r="M220" s="131">
        <v>36360</v>
      </c>
      <c r="N220" s="136">
        <v>514458</v>
      </c>
      <c r="O220" s="132" t="s">
        <v>244</v>
      </c>
      <c r="P220" s="132" t="s">
        <v>245</v>
      </c>
      <c r="Q220" s="133">
        <v>1239</v>
      </c>
      <c r="R220" s="132" t="s">
        <v>279</v>
      </c>
      <c r="S220" s="132" t="s">
        <v>11</v>
      </c>
      <c r="T220" s="134">
        <v>42548</v>
      </c>
      <c r="U220" s="172">
        <f t="shared" si="19"/>
        <v>2016</v>
      </c>
      <c r="V220" s="172">
        <f t="shared" si="20"/>
        <v>6</v>
      </c>
      <c r="W220" s="44" t="s">
        <v>280</v>
      </c>
      <c r="X220" t="s">
        <v>892</v>
      </c>
      <c r="Y220">
        <v>1</v>
      </c>
      <c r="AA220" s="13">
        <f t="shared" si="18"/>
        <v>36360</v>
      </c>
      <c r="AE220" s="43"/>
      <c r="AL220" s="93"/>
    </row>
    <row r="221" spans="13:38" hidden="1">
      <c r="M221" s="131">
        <v>36360</v>
      </c>
      <c r="N221" s="136">
        <v>514458</v>
      </c>
      <c r="O221" s="132" t="s">
        <v>244</v>
      </c>
      <c r="P221" s="132" t="s">
        <v>245</v>
      </c>
      <c r="Q221" s="133">
        <v>1274</v>
      </c>
      <c r="R221" s="132" t="s">
        <v>279</v>
      </c>
      <c r="S221" s="132" t="s">
        <v>11</v>
      </c>
      <c r="T221" s="134">
        <v>42548</v>
      </c>
      <c r="U221" s="172">
        <f t="shared" si="19"/>
        <v>2016</v>
      </c>
      <c r="V221" s="172">
        <f t="shared" si="20"/>
        <v>6</v>
      </c>
      <c r="W221" s="44" t="s">
        <v>280</v>
      </c>
      <c r="X221" t="s">
        <v>892</v>
      </c>
      <c r="Y221">
        <v>1</v>
      </c>
      <c r="AA221" s="13">
        <f t="shared" si="18"/>
        <v>36360</v>
      </c>
      <c r="AE221" s="43"/>
      <c r="AL221" s="93"/>
    </row>
    <row r="222" spans="13:38" hidden="1">
      <c r="M222" s="131">
        <v>36360</v>
      </c>
      <c r="N222" s="136">
        <v>568296</v>
      </c>
      <c r="O222" s="132" t="s">
        <v>244</v>
      </c>
      <c r="P222" s="132" t="s">
        <v>245</v>
      </c>
      <c r="Q222" s="133">
        <v>1308</v>
      </c>
      <c r="R222" s="132" t="s">
        <v>279</v>
      </c>
      <c r="S222" s="132" t="s">
        <v>11</v>
      </c>
      <c r="T222" s="134">
        <v>42548</v>
      </c>
      <c r="U222" s="172">
        <f t="shared" si="19"/>
        <v>2016</v>
      </c>
      <c r="V222" s="172">
        <f t="shared" si="20"/>
        <v>6</v>
      </c>
      <c r="W222" s="44" t="s">
        <v>280</v>
      </c>
      <c r="X222" t="s">
        <v>892</v>
      </c>
      <c r="Y222">
        <v>1</v>
      </c>
      <c r="AA222" s="13">
        <f t="shared" si="18"/>
        <v>36360</v>
      </c>
      <c r="AE222" s="43"/>
      <c r="AL222" s="93"/>
    </row>
    <row r="223" spans="13:38" hidden="1">
      <c r="M223" s="131">
        <v>36360</v>
      </c>
      <c r="N223" s="136">
        <v>568866</v>
      </c>
      <c r="O223" s="132" t="s">
        <v>244</v>
      </c>
      <c r="P223" s="132" t="s">
        <v>245</v>
      </c>
      <c r="Q223" s="133">
        <v>1311</v>
      </c>
      <c r="R223" s="132" t="s">
        <v>279</v>
      </c>
      <c r="S223" s="132" t="s">
        <v>11</v>
      </c>
      <c r="T223" s="134">
        <v>42548</v>
      </c>
      <c r="U223" s="172">
        <f t="shared" si="19"/>
        <v>2016</v>
      </c>
      <c r="V223" s="172">
        <f t="shared" si="20"/>
        <v>6</v>
      </c>
      <c r="W223" s="44" t="s">
        <v>280</v>
      </c>
      <c r="X223" t="s">
        <v>892</v>
      </c>
      <c r="Y223">
        <v>1</v>
      </c>
      <c r="AA223" s="13">
        <f t="shared" si="18"/>
        <v>36360</v>
      </c>
      <c r="AE223" s="43"/>
      <c r="AL223" s="93"/>
    </row>
    <row r="224" spans="13:38" hidden="1">
      <c r="M224" s="131">
        <v>36666</v>
      </c>
      <c r="N224" s="136">
        <v>579385</v>
      </c>
      <c r="O224" s="132" t="s">
        <v>244</v>
      </c>
      <c r="P224" s="132" t="s">
        <v>245</v>
      </c>
      <c r="Q224" s="133">
        <v>1010</v>
      </c>
      <c r="R224" s="132" t="s">
        <v>279</v>
      </c>
      <c r="S224" s="132" t="s">
        <v>11</v>
      </c>
      <c r="T224" s="134">
        <v>42548</v>
      </c>
      <c r="U224" s="172">
        <f t="shared" si="19"/>
        <v>2016</v>
      </c>
      <c r="V224" s="172">
        <f t="shared" si="20"/>
        <v>6</v>
      </c>
      <c r="W224" s="44" t="s">
        <v>280</v>
      </c>
      <c r="X224" t="s">
        <v>892</v>
      </c>
      <c r="Y224">
        <v>1</v>
      </c>
      <c r="AA224" s="13">
        <f t="shared" si="18"/>
        <v>36666</v>
      </c>
      <c r="AE224" s="43"/>
      <c r="AL224" s="93"/>
    </row>
    <row r="225" spans="13:39" hidden="1">
      <c r="M225" s="131">
        <v>36700</v>
      </c>
      <c r="N225" s="136">
        <v>523881</v>
      </c>
      <c r="O225" s="132" t="s">
        <v>244</v>
      </c>
      <c r="P225" s="132" t="s">
        <v>245</v>
      </c>
      <c r="Q225" s="133">
        <v>661</v>
      </c>
      <c r="R225" s="132" t="s">
        <v>279</v>
      </c>
      <c r="S225" s="132" t="s">
        <v>11</v>
      </c>
      <c r="T225" s="134">
        <v>42246</v>
      </c>
      <c r="U225" s="172">
        <f t="shared" si="19"/>
        <v>2015</v>
      </c>
      <c r="V225" s="172">
        <f t="shared" si="20"/>
        <v>8</v>
      </c>
      <c r="W225" s="44" t="s">
        <v>291</v>
      </c>
      <c r="X225" t="s">
        <v>892</v>
      </c>
      <c r="Y225">
        <v>1</v>
      </c>
      <c r="AA225" s="13">
        <f t="shared" si="18"/>
        <v>36700</v>
      </c>
      <c r="AE225" s="43"/>
      <c r="AL225" s="93"/>
    </row>
    <row r="226" spans="13:39" hidden="1">
      <c r="M226" s="131">
        <v>36900</v>
      </c>
      <c r="N226" s="136">
        <v>485403</v>
      </c>
      <c r="O226" s="132" t="s">
        <v>244</v>
      </c>
      <c r="P226" s="132" t="s">
        <v>245</v>
      </c>
      <c r="Q226" s="133">
        <v>369</v>
      </c>
      <c r="R226" s="132" t="s">
        <v>279</v>
      </c>
      <c r="S226" s="132" t="s">
        <v>11</v>
      </c>
      <c r="T226" s="134">
        <v>42246</v>
      </c>
      <c r="U226" s="172">
        <f t="shared" si="19"/>
        <v>2015</v>
      </c>
      <c r="V226" s="172">
        <f t="shared" si="20"/>
        <v>8</v>
      </c>
      <c r="W226" s="44" t="s">
        <v>291</v>
      </c>
      <c r="X226" t="s">
        <v>892</v>
      </c>
      <c r="Y226">
        <v>1</v>
      </c>
      <c r="AA226" s="13">
        <f t="shared" si="18"/>
        <v>36900</v>
      </c>
      <c r="AE226" s="43"/>
      <c r="AL226" s="93"/>
    </row>
    <row r="227" spans="13:39" hidden="1">
      <c r="M227" s="131">
        <v>36900</v>
      </c>
      <c r="N227" s="136">
        <v>568866</v>
      </c>
      <c r="O227" s="132" t="s">
        <v>244</v>
      </c>
      <c r="P227" s="132" t="s">
        <v>245</v>
      </c>
      <c r="Q227" s="133">
        <v>1313</v>
      </c>
      <c r="R227" s="132" t="s">
        <v>279</v>
      </c>
      <c r="S227" s="132" t="s">
        <v>11</v>
      </c>
      <c r="T227" s="134">
        <v>42548</v>
      </c>
      <c r="U227" s="172">
        <f t="shared" si="19"/>
        <v>2016</v>
      </c>
      <c r="V227" s="172">
        <f t="shared" si="20"/>
        <v>6</v>
      </c>
      <c r="W227" s="44" t="s">
        <v>280</v>
      </c>
      <c r="X227" t="s">
        <v>892</v>
      </c>
      <c r="Y227">
        <v>1</v>
      </c>
      <c r="AA227" s="13">
        <f t="shared" si="18"/>
        <v>36900</v>
      </c>
      <c r="AE227" s="43"/>
      <c r="AL227" s="93"/>
    </row>
    <row r="228" spans="13:39" hidden="1">
      <c r="M228" s="131">
        <v>38130</v>
      </c>
      <c r="N228" s="136">
        <v>488873</v>
      </c>
      <c r="O228" s="132" t="s">
        <v>244</v>
      </c>
      <c r="P228" s="132" t="s">
        <v>245</v>
      </c>
      <c r="Q228" s="133">
        <v>205</v>
      </c>
      <c r="R228" s="132" t="s">
        <v>279</v>
      </c>
      <c r="S228" s="132" t="s">
        <v>11</v>
      </c>
      <c r="T228" s="134">
        <v>42246</v>
      </c>
      <c r="U228" s="172">
        <f t="shared" si="19"/>
        <v>2015</v>
      </c>
      <c r="V228" s="172">
        <f t="shared" si="20"/>
        <v>8</v>
      </c>
      <c r="W228" s="44" t="s">
        <v>291</v>
      </c>
      <c r="X228" t="s">
        <v>892</v>
      </c>
      <c r="Y228">
        <v>1</v>
      </c>
      <c r="AA228" s="13">
        <f t="shared" si="18"/>
        <v>38130</v>
      </c>
      <c r="AE228" s="43"/>
      <c r="AL228" s="93"/>
    </row>
    <row r="229" spans="13:39" hidden="1">
      <c r="M229" s="131">
        <v>38300</v>
      </c>
      <c r="N229" s="136">
        <v>476482</v>
      </c>
      <c r="O229" s="132" t="s">
        <v>244</v>
      </c>
      <c r="P229" s="132" t="s">
        <v>245</v>
      </c>
      <c r="Q229" s="133">
        <v>42</v>
      </c>
      <c r="R229" s="132" t="s">
        <v>279</v>
      </c>
      <c r="S229" s="132" t="s">
        <v>11</v>
      </c>
      <c r="T229" s="134">
        <v>42246</v>
      </c>
      <c r="U229" s="172">
        <f t="shared" si="19"/>
        <v>2015</v>
      </c>
      <c r="V229" s="172">
        <f t="shared" si="20"/>
        <v>8</v>
      </c>
      <c r="W229" s="44" t="s">
        <v>291</v>
      </c>
      <c r="X229" t="s">
        <v>892</v>
      </c>
      <c r="Y229">
        <v>1</v>
      </c>
      <c r="AA229" s="13">
        <f t="shared" si="18"/>
        <v>38300</v>
      </c>
      <c r="AE229" s="43"/>
      <c r="AL229" s="93"/>
    </row>
    <row r="230" spans="13:39" hidden="1">
      <c r="M230" s="131">
        <v>38717</v>
      </c>
      <c r="N230" s="136">
        <v>544643</v>
      </c>
      <c r="O230" s="132" t="s">
        <v>244</v>
      </c>
      <c r="P230" s="132" t="s">
        <v>245</v>
      </c>
      <c r="Q230" s="133">
        <v>1607</v>
      </c>
      <c r="R230" s="132" t="s">
        <v>279</v>
      </c>
      <c r="S230" s="132" t="s">
        <v>11</v>
      </c>
      <c r="T230" s="134">
        <v>42548</v>
      </c>
      <c r="U230" s="172">
        <f t="shared" si="19"/>
        <v>2016</v>
      </c>
      <c r="V230" s="172">
        <f t="shared" si="20"/>
        <v>6</v>
      </c>
      <c r="W230" s="44" t="s">
        <v>280</v>
      </c>
      <c r="X230" t="s">
        <v>892</v>
      </c>
      <c r="Y230">
        <v>1</v>
      </c>
      <c r="AA230" s="13">
        <f t="shared" si="18"/>
        <v>38717</v>
      </c>
      <c r="AE230" s="43"/>
      <c r="AL230" s="93"/>
    </row>
    <row r="231" spans="13:39" hidden="1">
      <c r="M231" s="131">
        <v>39654</v>
      </c>
      <c r="N231" s="136">
        <v>488377</v>
      </c>
      <c r="O231" s="132" t="s">
        <v>244</v>
      </c>
      <c r="P231" s="132" t="s">
        <v>245</v>
      </c>
      <c r="Q231" s="133">
        <v>462</v>
      </c>
      <c r="R231" s="132" t="s">
        <v>279</v>
      </c>
      <c r="S231" s="132" t="s">
        <v>11</v>
      </c>
      <c r="T231" s="134">
        <v>42246</v>
      </c>
      <c r="U231" s="172">
        <f t="shared" si="19"/>
        <v>2015</v>
      </c>
      <c r="V231" s="172">
        <f t="shared" si="20"/>
        <v>8</v>
      </c>
      <c r="W231" s="44" t="s">
        <v>291</v>
      </c>
      <c r="X231" t="s">
        <v>892</v>
      </c>
      <c r="Y231">
        <v>1</v>
      </c>
      <c r="AA231" s="13">
        <f t="shared" si="18"/>
        <v>39654</v>
      </c>
      <c r="AE231" s="43"/>
      <c r="AL231" s="93"/>
    </row>
    <row r="232" spans="13:39" hidden="1">
      <c r="M232" s="131">
        <v>40000</v>
      </c>
      <c r="N232" s="136">
        <v>470201</v>
      </c>
      <c r="O232" s="132" t="s">
        <v>244</v>
      </c>
      <c r="P232" s="132" t="s">
        <v>245</v>
      </c>
      <c r="Q232" s="133">
        <v>1163</v>
      </c>
      <c r="R232" s="132" t="s">
        <v>279</v>
      </c>
      <c r="S232" s="132" t="s">
        <v>11</v>
      </c>
      <c r="T232" s="134">
        <v>42548</v>
      </c>
      <c r="U232" s="172">
        <f t="shared" si="19"/>
        <v>2016</v>
      </c>
      <c r="V232" s="172">
        <f t="shared" si="20"/>
        <v>6</v>
      </c>
      <c r="W232" s="44" t="s">
        <v>280</v>
      </c>
      <c r="X232" t="s">
        <v>892</v>
      </c>
      <c r="Y232">
        <v>1</v>
      </c>
      <c r="AA232" s="13">
        <f t="shared" si="18"/>
        <v>40000</v>
      </c>
      <c r="AE232" s="43"/>
      <c r="AL232" s="93"/>
    </row>
    <row r="233" spans="13:39" hidden="1">
      <c r="M233" s="131">
        <v>40000</v>
      </c>
      <c r="N233" s="136">
        <v>491350</v>
      </c>
      <c r="O233" s="132" t="s">
        <v>244</v>
      </c>
      <c r="P233" s="132" t="s">
        <v>245</v>
      </c>
      <c r="Q233" s="133">
        <v>351</v>
      </c>
      <c r="R233" s="132" t="s">
        <v>279</v>
      </c>
      <c r="S233" s="132" t="s">
        <v>11</v>
      </c>
      <c r="T233" s="134">
        <v>42246</v>
      </c>
      <c r="U233" s="172">
        <f t="shared" si="19"/>
        <v>2015</v>
      </c>
      <c r="V233" s="172">
        <f t="shared" si="20"/>
        <v>8</v>
      </c>
      <c r="W233" s="44" t="s">
        <v>291</v>
      </c>
      <c r="X233" t="s">
        <v>892</v>
      </c>
      <c r="Y233">
        <v>1</v>
      </c>
      <c r="AA233" s="13">
        <f t="shared" si="18"/>
        <v>40000</v>
      </c>
      <c r="AE233" s="43"/>
      <c r="AL233" s="93"/>
    </row>
    <row r="234" spans="13:39" hidden="1">
      <c r="M234" s="131">
        <v>40000</v>
      </c>
      <c r="N234" s="136">
        <v>514458</v>
      </c>
      <c r="O234" s="132" t="s">
        <v>244</v>
      </c>
      <c r="P234" s="132" t="s">
        <v>245</v>
      </c>
      <c r="Q234" s="133">
        <v>1523</v>
      </c>
      <c r="R234" s="132" t="s">
        <v>279</v>
      </c>
      <c r="S234" s="132" t="s">
        <v>11</v>
      </c>
      <c r="T234" s="134">
        <v>42548</v>
      </c>
      <c r="U234" s="172">
        <f t="shared" si="19"/>
        <v>2016</v>
      </c>
      <c r="V234" s="172">
        <f t="shared" si="20"/>
        <v>6</v>
      </c>
      <c r="W234" s="44" t="s">
        <v>280</v>
      </c>
      <c r="X234" t="s">
        <v>892</v>
      </c>
      <c r="Y234">
        <v>1</v>
      </c>
      <c r="AA234" s="13">
        <f t="shared" si="18"/>
        <v>40000</v>
      </c>
      <c r="AE234" s="43"/>
      <c r="AL234" s="93"/>
    </row>
    <row r="235" spans="13:39" hidden="1">
      <c r="M235" s="131">
        <v>40000</v>
      </c>
      <c r="N235" s="136">
        <v>559450</v>
      </c>
      <c r="O235" s="132" t="s">
        <v>244</v>
      </c>
      <c r="P235" s="132" t="s">
        <v>245</v>
      </c>
      <c r="Q235" s="133">
        <v>12</v>
      </c>
      <c r="R235" s="132" t="s">
        <v>279</v>
      </c>
      <c r="S235" s="132" t="s">
        <v>11</v>
      </c>
      <c r="T235" s="134">
        <v>42548</v>
      </c>
      <c r="U235" s="172">
        <f t="shared" si="19"/>
        <v>2016</v>
      </c>
      <c r="V235" s="172">
        <f t="shared" si="20"/>
        <v>6</v>
      </c>
      <c r="W235" s="44" t="s">
        <v>280</v>
      </c>
      <c r="X235" t="s">
        <v>892</v>
      </c>
      <c r="Y235">
        <v>1</v>
      </c>
      <c r="AA235" s="13">
        <f t="shared" si="18"/>
        <v>40000</v>
      </c>
      <c r="AE235" s="43"/>
      <c r="AL235" s="93"/>
    </row>
    <row r="236" spans="13:39" hidden="1">
      <c r="M236" s="131">
        <v>40100</v>
      </c>
      <c r="N236" s="222">
        <v>566855</v>
      </c>
      <c r="O236" s="132" t="s">
        <v>244</v>
      </c>
      <c r="P236" s="132" t="s">
        <v>245</v>
      </c>
      <c r="Q236" s="133">
        <v>6</v>
      </c>
      <c r="R236" s="132" t="s">
        <v>279</v>
      </c>
      <c r="S236" s="132" t="s">
        <v>11</v>
      </c>
      <c r="T236" s="134">
        <v>42548</v>
      </c>
      <c r="U236" s="172">
        <f t="shared" si="19"/>
        <v>2016</v>
      </c>
      <c r="V236" s="172">
        <f t="shared" si="20"/>
        <v>6</v>
      </c>
      <c r="W236" s="44" t="s">
        <v>280</v>
      </c>
      <c r="X236" t="s">
        <v>892</v>
      </c>
      <c r="Y236">
        <v>1</v>
      </c>
      <c r="AA236" s="13">
        <f t="shared" si="18"/>
        <v>40100</v>
      </c>
      <c r="AE236" s="43"/>
      <c r="AL236" s="87" t="s">
        <v>819</v>
      </c>
      <c r="AM236" s="86">
        <v>10100794</v>
      </c>
    </row>
    <row r="237" spans="13:39" hidden="1">
      <c r="M237" s="131">
        <v>40500</v>
      </c>
      <c r="N237" s="222">
        <v>565147</v>
      </c>
      <c r="O237" s="132" t="s">
        <v>244</v>
      </c>
      <c r="P237" s="132" t="s">
        <v>245</v>
      </c>
      <c r="Q237" s="133">
        <v>1505</v>
      </c>
      <c r="R237" s="132" t="s">
        <v>279</v>
      </c>
      <c r="S237" s="132" t="s">
        <v>11</v>
      </c>
      <c r="T237" s="134">
        <v>42548</v>
      </c>
      <c r="U237" s="172">
        <f t="shared" si="19"/>
        <v>2016</v>
      </c>
      <c r="V237" s="172">
        <f t="shared" si="20"/>
        <v>6</v>
      </c>
      <c r="W237" s="44" t="s">
        <v>280</v>
      </c>
      <c r="X237" t="s">
        <v>892</v>
      </c>
      <c r="Y237">
        <v>1</v>
      </c>
      <c r="AA237" s="13">
        <f t="shared" si="18"/>
        <v>40500</v>
      </c>
      <c r="AE237" s="43"/>
      <c r="AL237" s="87" t="s">
        <v>819</v>
      </c>
      <c r="AM237" s="86">
        <v>10307379</v>
      </c>
    </row>
    <row r="238" spans="13:39" hidden="1">
      <c r="M238" s="131">
        <v>40518</v>
      </c>
      <c r="N238" s="222">
        <v>468492</v>
      </c>
      <c r="O238" s="132" t="s">
        <v>244</v>
      </c>
      <c r="P238" s="132" t="s">
        <v>245</v>
      </c>
      <c r="Q238" s="133">
        <v>1129</v>
      </c>
      <c r="R238" s="132" t="s">
        <v>279</v>
      </c>
      <c r="S238" s="132" t="s">
        <v>11</v>
      </c>
      <c r="T238" s="134">
        <v>42548</v>
      </c>
      <c r="U238" s="172">
        <f t="shared" si="19"/>
        <v>2016</v>
      </c>
      <c r="V238" s="172">
        <f t="shared" si="20"/>
        <v>6</v>
      </c>
      <c r="W238" s="44" t="s">
        <v>280</v>
      </c>
      <c r="X238" t="s">
        <v>892</v>
      </c>
      <c r="Y238">
        <v>1</v>
      </c>
      <c r="AA238" s="13">
        <f t="shared" si="18"/>
        <v>40518</v>
      </c>
      <c r="AE238" s="43"/>
      <c r="AL238" s="87" t="s">
        <v>819</v>
      </c>
      <c r="AM238" s="86">
        <v>10378575</v>
      </c>
    </row>
    <row r="239" spans="13:39" hidden="1">
      <c r="M239" s="131">
        <v>41000</v>
      </c>
      <c r="N239" s="222">
        <v>476466</v>
      </c>
      <c r="O239" s="132" t="s">
        <v>244</v>
      </c>
      <c r="P239" s="132" t="s">
        <v>245</v>
      </c>
      <c r="Q239" s="133">
        <v>1531</v>
      </c>
      <c r="R239" s="132" t="s">
        <v>279</v>
      </c>
      <c r="S239" s="132" t="s">
        <v>11</v>
      </c>
      <c r="T239" s="134">
        <v>42548</v>
      </c>
      <c r="U239" s="172">
        <f t="shared" si="19"/>
        <v>2016</v>
      </c>
      <c r="V239" s="172">
        <f t="shared" si="20"/>
        <v>6</v>
      </c>
      <c r="W239" s="44" t="s">
        <v>280</v>
      </c>
      <c r="X239" t="s">
        <v>892</v>
      </c>
      <c r="Y239">
        <v>1</v>
      </c>
      <c r="AA239" s="13">
        <f t="shared" si="18"/>
        <v>41000</v>
      </c>
      <c r="AE239" s="43"/>
      <c r="AL239" s="87" t="s">
        <v>819</v>
      </c>
      <c r="AM239" s="86">
        <v>10384013</v>
      </c>
    </row>
    <row r="240" spans="13:39" hidden="1">
      <c r="M240" s="131">
        <v>41000</v>
      </c>
      <c r="N240" s="222">
        <v>613186</v>
      </c>
      <c r="O240" s="132" t="s">
        <v>244</v>
      </c>
      <c r="P240" s="132" t="s">
        <v>245</v>
      </c>
      <c r="Q240" s="133">
        <v>664</v>
      </c>
      <c r="R240" s="132" t="s">
        <v>279</v>
      </c>
      <c r="S240" s="132" t="s">
        <v>11</v>
      </c>
      <c r="T240" s="134">
        <v>42548</v>
      </c>
      <c r="U240" s="172">
        <f t="shared" si="19"/>
        <v>2016</v>
      </c>
      <c r="V240" s="172">
        <f t="shared" si="20"/>
        <v>6</v>
      </c>
      <c r="W240" s="44" t="s">
        <v>280</v>
      </c>
      <c r="X240" t="s">
        <v>892</v>
      </c>
      <c r="Y240">
        <v>1</v>
      </c>
      <c r="AA240" s="13">
        <f t="shared" si="18"/>
        <v>41000</v>
      </c>
      <c r="AE240" s="43"/>
      <c r="AL240" s="87" t="s">
        <v>819</v>
      </c>
      <c r="AM240" s="86">
        <v>10384013</v>
      </c>
    </row>
    <row r="241" spans="13:39" hidden="1">
      <c r="M241" s="131">
        <v>41100</v>
      </c>
      <c r="N241" s="222">
        <v>475987</v>
      </c>
      <c r="O241" s="132" t="s">
        <v>244</v>
      </c>
      <c r="P241" s="132" t="s">
        <v>245</v>
      </c>
      <c r="Q241" s="133">
        <v>179</v>
      </c>
      <c r="R241" s="132" t="s">
        <v>279</v>
      </c>
      <c r="S241" s="132" t="s">
        <v>11</v>
      </c>
      <c r="T241" s="134">
        <v>42246</v>
      </c>
      <c r="U241" s="172">
        <f t="shared" si="19"/>
        <v>2015</v>
      </c>
      <c r="V241" s="172">
        <f t="shared" si="20"/>
        <v>8</v>
      </c>
      <c r="W241" s="44" t="s">
        <v>291</v>
      </c>
      <c r="X241" t="s">
        <v>892</v>
      </c>
      <c r="Y241">
        <v>1</v>
      </c>
      <c r="AA241" s="13">
        <f t="shared" si="18"/>
        <v>41100</v>
      </c>
      <c r="AE241" s="43"/>
      <c r="AL241" s="87" t="s">
        <v>819</v>
      </c>
      <c r="AM241" s="86">
        <v>10446974</v>
      </c>
    </row>
    <row r="242" spans="13:39" hidden="1">
      <c r="M242" s="131">
        <v>41101</v>
      </c>
      <c r="N242" s="222">
        <v>478960</v>
      </c>
      <c r="O242" s="132" t="s">
        <v>244</v>
      </c>
      <c r="P242" s="132" t="s">
        <v>245</v>
      </c>
      <c r="Q242" s="133">
        <v>427</v>
      </c>
      <c r="R242" s="132" t="s">
        <v>279</v>
      </c>
      <c r="S242" s="132" t="s">
        <v>11</v>
      </c>
      <c r="T242" s="134">
        <v>42246</v>
      </c>
      <c r="U242" s="172">
        <f t="shared" si="19"/>
        <v>2015</v>
      </c>
      <c r="V242" s="172">
        <f t="shared" si="20"/>
        <v>8</v>
      </c>
      <c r="W242" s="44" t="s">
        <v>291</v>
      </c>
      <c r="X242" t="s">
        <v>892</v>
      </c>
      <c r="Y242">
        <v>1</v>
      </c>
      <c r="AA242" s="13">
        <f t="shared" si="18"/>
        <v>41101</v>
      </c>
      <c r="AE242" s="43"/>
      <c r="AL242" s="87" t="s">
        <v>819</v>
      </c>
      <c r="AM242" s="86">
        <v>10468916</v>
      </c>
    </row>
    <row r="243" spans="13:39" hidden="1">
      <c r="M243" s="131">
        <v>41606</v>
      </c>
      <c r="N243" s="222">
        <v>568296</v>
      </c>
      <c r="O243" s="132" t="s">
        <v>244</v>
      </c>
      <c r="P243" s="132" t="s">
        <v>245</v>
      </c>
      <c r="Q243" s="133">
        <v>1307</v>
      </c>
      <c r="R243" s="132" t="s">
        <v>279</v>
      </c>
      <c r="S243" s="132" t="s">
        <v>11</v>
      </c>
      <c r="T243" s="134">
        <v>42548</v>
      </c>
      <c r="U243" s="172">
        <f t="shared" si="19"/>
        <v>2016</v>
      </c>
      <c r="V243" s="172">
        <f t="shared" si="20"/>
        <v>6</v>
      </c>
      <c r="W243" s="44" t="s">
        <v>280</v>
      </c>
      <c r="X243" t="s">
        <v>892</v>
      </c>
      <c r="Y243">
        <v>1</v>
      </c>
      <c r="AA243" s="13">
        <f t="shared" si="18"/>
        <v>41606</v>
      </c>
      <c r="AE243" s="43"/>
      <c r="AL243" s="87" t="s">
        <v>819</v>
      </c>
      <c r="AM243" s="86">
        <v>10729111</v>
      </c>
    </row>
    <row r="244" spans="13:39" hidden="1">
      <c r="M244" s="131">
        <v>42363</v>
      </c>
      <c r="N244" s="222">
        <v>470039</v>
      </c>
      <c r="O244" s="132" t="s">
        <v>244</v>
      </c>
      <c r="P244" s="132" t="s">
        <v>245</v>
      </c>
      <c r="Q244" s="133">
        <v>178</v>
      </c>
      <c r="R244" s="132" t="s">
        <v>279</v>
      </c>
      <c r="S244" s="132" t="s">
        <v>11</v>
      </c>
      <c r="T244" s="134">
        <v>42246</v>
      </c>
      <c r="U244" s="172">
        <f t="shared" si="19"/>
        <v>2015</v>
      </c>
      <c r="V244" s="172">
        <f t="shared" si="20"/>
        <v>8</v>
      </c>
      <c r="W244" s="44" t="s">
        <v>291</v>
      </c>
      <c r="X244" t="s">
        <v>892</v>
      </c>
      <c r="Y244">
        <v>1</v>
      </c>
      <c r="AA244" s="13">
        <f t="shared" si="18"/>
        <v>42363</v>
      </c>
      <c r="AE244" s="43"/>
      <c r="AL244" s="87" t="s">
        <v>819</v>
      </c>
      <c r="AM244" s="86">
        <v>1084978</v>
      </c>
    </row>
    <row r="245" spans="13:39" hidden="1">
      <c r="M245" s="131">
        <v>42500</v>
      </c>
      <c r="N245" s="222">
        <v>493828</v>
      </c>
      <c r="O245" s="132" t="s">
        <v>244</v>
      </c>
      <c r="P245" s="132" t="s">
        <v>245</v>
      </c>
      <c r="Q245" s="133">
        <v>140</v>
      </c>
      <c r="R245" s="132" t="s">
        <v>279</v>
      </c>
      <c r="S245" s="132" t="s">
        <v>11</v>
      </c>
      <c r="T245" s="134">
        <v>42246</v>
      </c>
      <c r="U245" s="172">
        <f t="shared" si="19"/>
        <v>2015</v>
      </c>
      <c r="V245" s="172">
        <f t="shared" si="20"/>
        <v>8</v>
      </c>
      <c r="W245" s="44" t="s">
        <v>291</v>
      </c>
      <c r="X245" t="s">
        <v>892</v>
      </c>
      <c r="Y245">
        <v>1</v>
      </c>
      <c r="AA245" s="13">
        <f t="shared" si="18"/>
        <v>42500</v>
      </c>
      <c r="AE245" s="43"/>
      <c r="AL245" s="87" t="s">
        <v>819</v>
      </c>
      <c r="AM245" s="86">
        <v>1084978</v>
      </c>
    </row>
    <row r="246" spans="13:39" hidden="1">
      <c r="M246" s="131">
        <v>42500</v>
      </c>
      <c r="N246" s="222">
        <v>499279</v>
      </c>
      <c r="O246" s="132" t="s">
        <v>244</v>
      </c>
      <c r="P246" s="132" t="s">
        <v>245</v>
      </c>
      <c r="Q246" s="133">
        <v>336</v>
      </c>
      <c r="R246" s="132" t="s">
        <v>279</v>
      </c>
      <c r="S246" s="132" t="s">
        <v>11</v>
      </c>
      <c r="T246" s="134">
        <v>42246</v>
      </c>
      <c r="U246" s="172">
        <f t="shared" si="19"/>
        <v>2015</v>
      </c>
      <c r="V246" s="172">
        <f t="shared" si="20"/>
        <v>8</v>
      </c>
      <c r="W246" s="44" t="s">
        <v>291</v>
      </c>
      <c r="X246" t="s">
        <v>892</v>
      </c>
      <c r="Y246">
        <v>1</v>
      </c>
      <c r="AA246" s="13">
        <f t="shared" si="18"/>
        <v>42500</v>
      </c>
      <c r="AE246" s="43"/>
      <c r="AL246" s="87" t="s">
        <v>819</v>
      </c>
      <c r="AM246" s="86">
        <v>10929546</v>
      </c>
    </row>
    <row r="247" spans="13:39" hidden="1">
      <c r="M247" s="131">
        <v>42550</v>
      </c>
      <c r="N247" s="222">
        <v>499279</v>
      </c>
      <c r="O247" s="132" t="s">
        <v>244</v>
      </c>
      <c r="P247" s="132" t="s">
        <v>245</v>
      </c>
      <c r="Q247" s="133">
        <v>112</v>
      </c>
      <c r="R247" s="132" t="s">
        <v>279</v>
      </c>
      <c r="S247" s="132" t="s">
        <v>11</v>
      </c>
      <c r="T247" s="134">
        <v>42246</v>
      </c>
      <c r="U247" s="172">
        <f t="shared" si="19"/>
        <v>2015</v>
      </c>
      <c r="V247" s="172">
        <f t="shared" si="20"/>
        <v>8</v>
      </c>
      <c r="W247" s="44" t="s">
        <v>291</v>
      </c>
      <c r="X247" t="s">
        <v>892</v>
      </c>
      <c r="Y247">
        <v>1</v>
      </c>
      <c r="AA247" s="13">
        <f t="shared" si="18"/>
        <v>42550</v>
      </c>
      <c r="AE247" s="43"/>
      <c r="AL247" s="87" t="s">
        <v>819</v>
      </c>
      <c r="AM247" s="86">
        <v>11139033</v>
      </c>
    </row>
    <row r="248" spans="13:39" hidden="1">
      <c r="M248" s="131">
        <v>42606</v>
      </c>
      <c r="N248" s="222">
        <v>568866</v>
      </c>
      <c r="O248" s="132" t="s">
        <v>244</v>
      </c>
      <c r="P248" s="132" t="s">
        <v>245</v>
      </c>
      <c r="Q248" s="133">
        <v>1309</v>
      </c>
      <c r="R248" s="132" t="s">
        <v>279</v>
      </c>
      <c r="S248" s="132" t="s">
        <v>11</v>
      </c>
      <c r="T248" s="134">
        <v>42548</v>
      </c>
      <c r="U248" s="172">
        <f t="shared" si="19"/>
        <v>2016</v>
      </c>
      <c r="V248" s="172">
        <f t="shared" si="20"/>
        <v>6</v>
      </c>
      <c r="W248" s="44" t="s">
        <v>280</v>
      </c>
      <c r="X248" t="s">
        <v>892</v>
      </c>
      <c r="Y248">
        <v>1</v>
      </c>
      <c r="AA248" s="13">
        <f t="shared" si="18"/>
        <v>42606</v>
      </c>
      <c r="AE248" s="43"/>
      <c r="AL248" s="87" t="s">
        <v>819</v>
      </c>
      <c r="AM248" s="86">
        <v>11261289</v>
      </c>
    </row>
    <row r="249" spans="13:39" hidden="1">
      <c r="M249" s="131">
        <v>42717</v>
      </c>
      <c r="N249" s="222">
        <v>560021</v>
      </c>
      <c r="O249" s="132" t="s">
        <v>244</v>
      </c>
      <c r="P249" s="132" t="s">
        <v>245</v>
      </c>
      <c r="Q249" s="133">
        <v>272</v>
      </c>
      <c r="R249" s="132" t="s">
        <v>279</v>
      </c>
      <c r="S249" s="132" t="s">
        <v>11</v>
      </c>
      <c r="T249" s="134">
        <v>42548</v>
      </c>
      <c r="U249" s="172">
        <f t="shared" si="19"/>
        <v>2016</v>
      </c>
      <c r="V249" s="172">
        <f t="shared" si="20"/>
        <v>6</v>
      </c>
      <c r="W249" s="44" t="s">
        <v>280</v>
      </c>
      <c r="X249" t="s">
        <v>892</v>
      </c>
      <c r="Y249">
        <v>1</v>
      </c>
      <c r="AA249" s="13">
        <f t="shared" si="18"/>
        <v>42717</v>
      </c>
      <c r="AE249" s="43"/>
      <c r="AL249" s="87" t="s">
        <v>819</v>
      </c>
      <c r="AM249" s="86">
        <v>11268272</v>
      </c>
    </row>
    <row r="250" spans="13:39" hidden="1">
      <c r="M250" s="131">
        <v>43000</v>
      </c>
      <c r="N250" s="222">
        <v>468492</v>
      </c>
      <c r="O250" s="132" t="s">
        <v>244</v>
      </c>
      <c r="P250" s="132" t="s">
        <v>245</v>
      </c>
      <c r="Q250" s="133">
        <v>1132</v>
      </c>
      <c r="R250" s="132" t="s">
        <v>279</v>
      </c>
      <c r="S250" s="132" t="s">
        <v>11</v>
      </c>
      <c r="T250" s="134">
        <v>42548</v>
      </c>
      <c r="U250" s="172">
        <f t="shared" si="19"/>
        <v>2016</v>
      </c>
      <c r="V250" s="172">
        <f t="shared" si="20"/>
        <v>6</v>
      </c>
      <c r="W250" s="44" t="s">
        <v>280</v>
      </c>
      <c r="X250" t="s">
        <v>892</v>
      </c>
      <c r="Y250">
        <v>1</v>
      </c>
      <c r="AA250" s="13">
        <f t="shared" si="18"/>
        <v>43000</v>
      </c>
      <c r="AE250" s="43"/>
      <c r="AL250" s="87" t="s">
        <v>819</v>
      </c>
      <c r="AM250" s="86">
        <v>11298962</v>
      </c>
    </row>
    <row r="251" spans="13:39" hidden="1">
      <c r="M251" s="131">
        <v>43000</v>
      </c>
      <c r="N251" s="222">
        <v>482160</v>
      </c>
      <c r="O251" s="132" t="s">
        <v>244</v>
      </c>
      <c r="P251" s="132" t="s">
        <v>245</v>
      </c>
      <c r="Q251" s="133">
        <v>1536</v>
      </c>
      <c r="R251" s="132" t="s">
        <v>279</v>
      </c>
      <c r="S251" s="132" t="s">
        <v>11</v>
      </c>
      <c r="T251" s="134">
        <v>42548</v>
      </c>
      <c r="U251" s="172">
        <f t="shared" si="19"/>
        <v>2016</v>
      </c>
      <c r="V251" s="172">
        <f t="shared" si="20"/>
        <v>6</v>
      </c>
      <c r="W251" s="44" t="s">
        <v>280</v>
      </c>
      <c r="X251" t="s">
        <v>892</v>
      </c>
      <c r="Y251">
        <v>1</v>
      </c>
      <c r="AA251" s="13">
        <f t="shared" si="18"/>
        <v>43000</v>
      </c>
      <c r="AE251" s="43"/>
      <c r="AL251" s="87" t="s">
        <v>819</v>
      </c>
      <c r="AM251" s="86">
        <v>11340839</v>
      </c>
    </row>
    <row r="252" spans="13:39" hidden="1">
      <c r="M252" s="131">
        <v>43105</v>
      </c>
      <c r="N252" s="222">
        <v>529569</v>
      </c>
      <c r="O252" s="132" t="s">
        <v>244</v>
      </c>
      <c r="P252" s="132" t="s">
        <v>245</v>
      </c>
      <c r="Q252" s="133">
        <v>1378</v>
      </c>
      <c r="R252" s="132" t="s">
        <v>279</v>
      </c>
      <c r="S252" s="132" t="s">
        <v>11</v>
      </c>
      <c r="T252" s="134">
        <v>42548</v>
      </c>
      <c r="U252" s="172">
        <f t="shared" si="19"/>
        <v>2016</v>
      </c>
      <c r="V252" s="172">
        <f t="shared" si="20"/>
        <v>6</v>
      </c>
      <c r="W252" s="44" t="s">
        <v>280</v>
      </c>
      <c r="X252" t="s">
        <v>892</v>
      </c>
      <c r="Y252">
        <v>1</v>
      </c>
      <c r="AA252" s="13">
        <f t="shared" si="18"/>
        <v>43105</v>
      </c>
      <c r="AE252" s="43"/>
      <c r="AL252" s="87" t="s">
        <v>819</v>
      </c>
      <c r="AM252" s="86">
        <v>1171833</v>
      </c>
    </row>
    <row r="253" spans="13:39" hidden="1">
      <c r="M253" s="131">
        <v>43180</v>
      </c>
      <c r="N253" s="222">
        <v>514458</v>
      </c>
      <c r="O253" s="132" t="s">
        <v>244</v>
      </c>
      <c r="P253" s="132" t="s">
        <v>245</v>
      </c>
      <c r="Q253" s="133">
        <v>1522</v>
      </c>
      <c r="R253" s="132" t="s">
        <v>279</v>
      </c>
      <c r="S253" s="132" t="s">
        <v>11</v>
      </c>
      <c r="T253" s="134">
        <v>42548</v>
      </c>
      <c r="U253" s="172">
        <f t="shared" si="19"/>
        <v>2016</v>
      </c>
      <c r="V253" s="172">
        <f t="shared" si="20"/>
        <v>6</v>
      </c>
      <c r="W253" s="44" t="s">
        <v>280</v>
      </c>
      <c r="X253" t="s">
        <v>892</v>
      </c>
      <c r="Y253">
        <v>1</v>
      </c>
      <c r="AA253" s="13">
        <f t="shared" si="18"/>
        <v>43180</v>
      </c>
      <c r="AE253" s="43"/>
      <c r="AL253" s="87" t="s">
        <v>819</v>
      </c>
      <c r="AM253" s="86">
        <v>11832090</v>
      </c>
    </row>
    <row r="254" spans="13:39" hidden="1">
      <c r="M254" s="131">
        <v>43187</v>
      </c>
      <c r="N254" s="222">
        <v>567994</v>
      </c>
      <c r="O254" s="132" t="s">
        <v>244</v>
      </c>
      <c r="P254" s="132" t="s">
        <v>245</v>
      </c>
      <c r="Q254" s="133">
        <v>1356</v>
      </c>
      <c r="R254" s="132" t="s">
        <v>279</v>
      </c>
      <c r="S254" s="132" t="s">
        <v>11</v>
      </c>
      <c r="T254" s="134">
        <v>42548</v>
      </c>
      <c r="U254" s="172">
        <f t="shared" si="19"/>
        <v>2016</v>
      </c>
      <c r="V254" s="172">
        <f t="shared" si="20"/>
        <v>6</v>
      </c>
      <c r="W254" s="44" t="s">
        <v>280</v>
      </c>
      <c r="X254" t="s">
        <v>892</v>
      </c>
      <c r="Y254">
        <v>1</v>
      </c>
      <c r="AA254" s="13">
        <f t="shared" si="18"/>
        <v>43187</v>
      </c>
      <c r="AE254" s="43"/>
      <c r="AL254" s="87" t="s">
        <v>819</v>
      </c>
      <c r="AM254" s="86">
        <v>11979441</v>
      </c>
    </row>
    <row r="255" spans="13:39" hidden="1">
      <c r="M255" s="131">
        <v>43995</v>
      </c>
      <c r="N255" s="222">
        <v>476482</v>
      </c>
      <c r="O255" s="132" t="s">
        <v>244</v>
      </c>
      <c r="P255" s="132" t="s">
        <v>245</v>
      </c>
      <c r="Q255" s="133">
        <v>386</v>
      </c>
      <c r="R255" s="132" t="s">
        <v>279</v>
      </c>
      <c r="S255" s="132" t="s">
        <v>11</v>
      </c>
      <c r="T255" s="134">
        <v>42246</v>
      </c>
      <c r="U255" s="172">
        <f t="shared" si="19"/>
        <v>2015</v>
      </c>
      <c r="V255" s="172">
        <f t="shared" si="20"/>
        <v>8</v>
      </c>
      <c r="W255" s="44" t="s">
        <v>291</v>
      </c>
      <c r="X255" t="s">
        <v>892</v>
      </c>
      <c r="Y255">
        <v>1</v>
      </c>
      <c r="AA255" s="13">
        <f t="shared" si="18"/>
        <v>43995</v>
      </c>
      <c r="AE255" s="43"/>
      <c r="AL255" s="87" t="s">
        <v>819</v>
      </c>
      <c r="AM255" s="86">
        <v>12059121</v>
      </c>
    </row>
    <row r="256" spans="13:39" hidden="1">
      <c r="M256" s="131">
        <v>44018</v>
      </c>
      <c r="N256" s="222">
        <v>542935</v>
      </c>
      <c r="O256" s="132" t="s">
        <v>244</v>
      </c>
      <c r="P256" s="132" t="s">
        <v>245</v>
      </c>
      <c r="Q256" s="133">
        <v>1236</v>
      </c>
      <c r="R256" s="132" t="s">
        <v>279</v>
      </c>
      <c r="S256" s="132" t="s">
        <v>11</v>
      </c>
      <c r="T256" s="134">
        <v>42548</v>
      </c>
      <c r="U256" s="172">
        <f t="shared" si="19"/>
        <v>2016</v>
      </c>
      <c r="V256" s="172">
        <f t="shared" si="20"/>
        <v>6</v>
      </c>
      <c r="W256" s="44" t="s">
        <v>280</v>
      </c>
      <c r="X256" t="s">
        <v>892</v>
      </c>
      <c r="Y256">
        <v>1</v>
      </c>
      <c r="AA256" s="13">
        <f t="shared" si="18"/>
        <v>44018</v>
      </c>
      <c r="AE256" s="43"/>
      <c r="AL256" s="87" t="s">
        <v>819</v>
      </c>
      <c r="AM256" s="86">
        <v>12059121</v>
      </c>
    </row>
    <row r="257" spans="13:39" hidden="1">
      <c r="M257" s="131">
        <v>44100</v>
      </c>
      <c r="N257" s="222">
        <v>564576</v>
      </c>
      <c r="O257" s="132" t="s">
        <v>244</v>
      </c>
      <c r="P257" s="132" t="s">
        <v>245</v>
      </c>
      <c r="Q257" s="133">
        <v>9</v>
      </c>
      <c r="R257" s="132" t="s">
        <v>279</v>
      </c>
      <c r="S257" s="132" t="s">
        <v>11</v>
      </c>
      <c r="T257" s="134">
        <v>42548</v>
      </c>
      <c r="U257" s="172">
        <f t="shared" si="19"/>
        <v>2016</v>
      </c>
      <c r="V257" s="172">
        <f t="shared" si="20"/>
        <v>6</v>
      </c>
      <c r="W257" s="44" t="s">
        <v>280</v>
      </c>
      <c r="X257" t="s">
        <v>892</v>
      </c>
      <c r="Y257">
        <v>1</v>
      </c>
      <c r="AA257" s="13">
        <f t="shared" si="18"/>
        <v>44100</v>
      </c>
      <c r="AE257" s="43"/>
      <c r="AL257" s="87" t="s">
        <v>819</v>
      </c>
      <c r="AM257" s="86">
        <v>12130082</v>
      </c>
    </row>
    <row r="258" spans="13:39" hidden="1">
      <c r="M258" s="131">
        <v>44444</v>
      </c>
      <c r="N258" s="222">
        <v>489368</v>
      </c>
      <c r="O258" s="132" t="s">
        <v>244</v>
      </c>
      <c r="P258" s="132" t="s">
        <v>245</v>
      </c>
      <c r="Q258" s="133">
        <v>115</v>
      </c>
      <c r="R258" s="132" t="s">
        <v>279</v>
      </c>
      <c r="S258" s="132" t="s">
        <v>11</v>
      </c>
      <c r="T258" s="134">
        <v>42246</v>
      </c>
      <c r="U258" s="172">
        <f t="shared" si="19"/>
        <v>2015</v>
      </c>
      <c r="V258" s="172">
        <f t="shared" si="20"/>
        <v>8</v>
      </c>
      <c r="W258" s="44" t="s">
        <v>291</v>
      </c>
      <c r="X258" t="s">
        <v>892</v>
      </c>
      <c r="Y258">
        <v>1</v>
      </c>
      <c r="AA258" s="13">
        <f t="shared" si="18"/>
        <v>44444</v>
      </c>
      <c r="AE258" s="43"/>
      <c r="AL258" s="87" t="s">
        <v>819</v>
      </c>
      <c r="AM258" s="86">
        <v>12162356</v>
      </c>
    </row>
    <row r="259" spans="13:39" hidden="1">
      <c r="M259" s="131">
        <v>44444</v>
      </c>
      <c r="N259" s="222">
        <v>564007</v>
      </c>
      <c r="O259" s="132" t="s">
        <v>244</v>
      </c>
      <c r="P259" s="132" t="s">
        <v>245</v>
      </c>
      <c r="Q259" s="133">
        <v>71</v>
      </c>
      <c r="R259" s="132" t="s">
        <v>279</v>
      </c>
      <c r="S259" s="132" t="s">
        <v>11</v>
      </c>
      <c r="T259" s="134">
        <v>42548</v>
      </c>
      <c r="U259" s="172">
        <f t="shared" si="19"/>
        <v>2016</v>
      </c>
      <c r="V259" s="172">
        <f t="shared" si="20"/>
        <v>6</v>
      </c>
      <c r="W259" s="44" t="s">
        <v>280</v>
      </c>
      <c r="X259" t="s">
        <v>892</v>
      </c>
      <c r="Y259">
        <v>1</v>
      </c>
      <c r="AA259" s="13">
        <f t="shared" si="18"/>
        <v>44444</v>
      </c>
      <c r="AE259" s="43"/>
      <c r="AL259" s="87" t="s">
        <v>819</v>
      </c>
      <c r="AM259" s="86">
        <v>12450904</v>
      </c>
    </row>
    <row r="260" spans="13:39" hidden="1">
      <c r="M260" s="131">
        <v>44735</v>
      </c>
      <c r="N260" s="222">
        <v>574259</v>
      </c>
      <c r="O260" s="132" t="s">
        <v>244</v>
      </c>
      <c r="P260" s="132" t="s">
        <v>245</v>
      </c>
      <c r="Q260" s="133">
        <v>1585</v>
      </c>
      <c r="R260" s="132" t="s">
        <v>279</v>
      </c>
      <c r="S260" s="132" t="s">
        <v>11</v>
      </c>
      <c r="T260" s="134">
        <v>42548</v>
      </c>
      <c r="U260" s="172">
        <f t="shared" si="19"/>
        <v>2016</v>
      </c>
      <c r="V260" s="172">
        <f t="shared" si="20"/>
        <v>6</v>
      </c>
      <c r="W260" s="44" t="s">
        <v>280</v>
      </c>
      <c r="X260" t="s">
        <v>892</v>
      </c>
      <c r="Y260">
        <v>1</v>
      </c>
      <c r="AA260" s="13">
        <f t="shared" ref="AA260:AA323" si="21">IF(M260&lt;30000,Y260*100*M260*(1-$L$1)-$L$2*Y260,M260)</f>
        <v>44735</v>
      </c>
      <c r="AE260" s="43"/>
      <c r="AL260" s="87" t="s">
        <v>819</v>
      </c>
      <c r="AM260" s="86">
        <v>12475619</v>
      </c>
    </row>
    <row r="261" spans="13:39" hidden="1">
      <c r="M261" s="131">
        <v>45000</v>
      </c>
      <c r="N261" s="222">
        <v>468492</v>
      </c>
      <c r="O261" s="132" t="s">
        <v>244</v>
      </c>
      <c r="P261" s="132" t="s">
        <v>245</v>
      </c>
      <c r="Q261" s="133">
        <v>1137</v>
      </c>
      <c r="R261" s="132" t="s">
        <v>279</v>
      </c>
      <c r="S261" s="132" t="s">
        <v>11</v>
      </c>
      <c r="T261" s="134">
        <v>42548</v>
      </c>
      <c r="U261" s="172">
        <f t="shared" si="19"/>
        <v>2016</v>
      </c>
      <c r="V261" s="172">
        <f t="shared" si="20"/>
        <v>6</v>
      </c>
      <c r="W261" s="44" t="s">
        <v>280</v>
      </c>
      <c r="X261" t="s">
        <v>892</v>
      </c>
      <c r="Y261">
        <v>1</v>
      </c>
      <c r="AA261" s="13">
        <f t="shared" si="21"/>
        <v>45000</v>
      </c>
      <c r="AE261" s="43"/>
      <c r="AL261" s="87" t="s">
        <v>819</v>
      </c>
      <c r="AM261" s="86">
        <v>12806559</v>
      </c>
    </row>
    <row r="262" spans="13:39" hidden="1">
      <c r="M262" s="131">
        <v>45000</v>
      </c>
      <c r="N262" s="222">
        <v>468492</v>
      </c>
      <c r="O262" s="132" t="s">
        <v>244</v>
      </c>
      <c r="P262" s="132" t="s">
        <v>245</v>
      </c>
      <c r="Q262" s="133">
        <v>1392</v>
      </c>
      <c r="R262" s="132" t="s">
        <v>279</v>
      </c>
      <c r="S262" s="132" t="s">
        <v>11</v>
      </c>
      <c r="T262" s="134">
        <v>42548</v>
      </c>
      <c r="U262" s="172">
        <f t="shared" si="19"/>
        <v>2016</v>
      </c>
      <c r="V262" s="172">
        <f t="shared" si="20"/>
        <v>6</v>
      </c>
      <c r="W262" s="44" t="s">
        <v>280</v>
      </c>
      <c r="X262" t="s">
        <v>892</v>
      </c>
      <c r="Y262">
        <v>1</v>
      </c>
      <c r="AA262" s="13">
        <f t="shared" si="21"/>
        <v>45000</v>
      </c>
      <c r="AE262" s="43"/>
      <c r="AL262" s="87" t="s">
        <v>819</v>
      </c>
      <c r="AM262" s="86">
        <v>12811317</v>
      </c>
    </row>
    <row r="263" spans="13:39" hidden="1">
      <c r="M263" s="131">
        <v>45000</v>
      </c>
      <c r="N263" s="222">
        <v>470201</v>
      </c>
      <c r="O263" s="132" t="s">
        <v>244</v>
      </c>
      <c r="P263" s="132" t="s">
        <v>245</v>
      </c>
      <c r="Q263" s="133">
        <v>1175</v>
      </c>
      <c r="R263" s="132" t="s">
        <v>279</v>
      </c>
      <c r="S263" s="132" t="s">
        <v>11</v>
      </c>
      <c r="T263" s="134">
        <v>42548</v>
      </c>
      <c r="U263" s="172">
        <f t="shared" ref="U263:U326" si="22">YEAR($T263)</f>
        <v>2016</v>
      </c>
      <c r="V263" s="172">
        <f t="shared" ref="V263:V326" si="23">MONTH($T263)</f>
        <v>6</v>
      </c>
      <c r="W263" s="44" t="s">
        <v>280</v>
      </c>
      <c r="X263" t="s">
        <v>892</v>
      </c>
      <c r="Y263">
        <v>1</v>
      </c>
      <c r="AA263" s="13">
        <f t="shared" si="21"/>
        <v>45000</v>
      </c>
      <c r="AE263" s="43"/>
      <c r="AL263" s="87" t="s">
        <v>819</v>
      </c>
      <c r="AM263" s="86">
        <v>12811317</v>
      </c>
    </row>
    <row r="264" spans="13:39" hidden="1">
      <c r="M264" s="131">
        <v>45000</v>
      </c>
      <c r="N264" s="222">
        <v>544074</v>
      </c>
      <c r="O264" s="132" t="s">
        <v>244</v>
      </c>
      <c r="P264" s="132" t="s">
        <v>245</v>
      </c>
      <c r="Q264" s="133">
        <v>1427</v>
      </c>
      <c r="R264" s="132" t="s">
        <v>279</v>
      </c>
      <c r="S264" s="132" t="s">
        <v>11</v>
      </c>
      <c r="T264" s="134">
        <v>42548</v>
      </c>
      <c r="U264" s="172">
        <f t="shared" si="22"/>
        <v>2016</v>
      </c>
      <c r="V264" s="172">
        <f t="shared" si="23"/>
        <v>6</v>
      </c>
      <c r="W264" s="44" t="s">
        <v>280</v>
      </c>
      <c r="X264" t="s">
        <v>892</v>
      </c>
      <c r="Y264">
        <v>1</v>
      </c>
      <c r="AA264" s="13">
        <f t="shared" si="21"/>
        <v>45000</v>
      </c>
      <c r="AE264" s="43"/>
      <c r="AL264" s="87" t="s">
        <v>819</v>
      </c>
      <c r="AM264" s="86">
        <v>12817427</v>
      </c>
    </row>
    <row r="265" spans="13:39" hidden="1">
      <c r="M265" s="131">
        <v>45600</v>
      </c>
      <c r="N265" s="222">
        <v>550338</v>
      </c>
      <c r="O265" s="132" t="s">
        <v>244</v>
      </c>
      <c r="P265" s="132" t="s">
        <v>245</v>
      </c>
      <c r="Q265" s="133">
        <v>1581</v>
      </c>
      <c r="R265" s="132" t="s">
        <v>279</v>
      </c>
      <c r="S265" s="132" t="s">
        <v>11</v>
      </c>
      <c r="T265" s="134">
        <v>42548</v>
      </c>
      <c r="U265" s="172">
        <f t="shared" si="22"/>
        <v>2016</v>
      </c>
      <c r="V265" s="172">
        <f t="shared" si="23"/>
        <v>6</v>
      </c>
      <c r="W265" s="44" t="s">
        <v>280</v>
      </c>
      <c r="X265" t="s">
        <v>892</v>
      </c>
      <c r="Y265">
        <v>1</v>
      </c>
      <c r="AA265" s="13">
        <f t="shared" si="21"/>
        <v>45600</v>
      </c>
      <c r="AE265" s="43"/>
      <c r="AL265" s="87" t="s">
        <v>819</v>
      </c>
      <c r="AM265" s="86">
        <v>13325636</v>
      </c>
    </row>
    <row r="266" spans="13:39" hidden="1">
      <c r="M266" s="131">
        <v>46000</v>
      </c>
      <c r="N266" s="222">
        <v>466214</v>
      </c>
      <c r="O266" s="132" t="s">
        <v>244</v>
      </c>
      <c r="P266" s="132" t="s">
        <v>245</v>
      </c>
      <c r="Q266" s="133">
        <v>1365</v>
      </c>
      <c r="R266" s="132" t="s">
        <v>279</v>
      </c>
      <c r="S266" s="132" t="s">
        <v>11</v>
      </c>
      <c r="T266" s="134">
        <v>42548</v>
      </c>
      <c r="U266" s="172">
        <f t="shared" si="22"/>
        <v>2016</v>
      </c>
      <c r="V266" s="172">
        <f t="shared" si="23"/>
        <v>6</v>
      </c>
      <c r="W266" s="44" t="s">
        <v>280</v>
      </c>
      <c r="X266" t="s">
        <v>892</v>
      </c>
      <c r="Y266">
        <v>1</v>
      </c>
      <c r="AA266" s="13">
        <f t="shared" si="21"/>
        <v>46000</v>
      </c>
      <c r="AE266" s="43"/>
      <c r="AL266" s="87" t="s">
        <v>819</v>
      </c>
      <c r="AM266" s="86">
        <v>1338404</v>
      </c>
    </row>
    <row r="267" spans="13:39" hidden="1">
      <c r="M267" s="131">
        <v>46000</v>
      </c>
      <c r="N267" s="222">
        <v>556034</v>
      </c>
      <c r="O267" s="132" t="s">
        <v>244</v>
      </c>
      <c r="P267" s="132" t="s">
        <v>245</v>
      </c>
      <c r="Q267" s="133">
        <v>1009</v>
      </c>
      <c r="R267" s="132" t="s">
        <v>279</v>
      </c>
      <c r="S267" s="132" t="s">
        <v>11</v>
      </c>
      <c r="T267" s="134">
        <v>42548</v>
      </c>
      <c r="U267" s="172">
        <f t="shared" si="22"/>
        <v>2016</v>
      </c>
      <c r="V267" s="172">
        <f t="shared" si="23"/>
        <v>6</v>
      </c>
      <c r="W267" s="44" t="s">
        <v>280</v>
      </c>
      <c r="X267" t="s">
        <v>892</v>
      </c>
      <c r="Y267">
        <v>1</v>
      </c>
      <c r="AA267" s="13">
        <f t="shared" si="21"/>
        <v>46000</v>
      </c>
      <c r="AE267" s="43"/>
      <c r="AL267" s="87" t="s">
        <v>819</v>
      </c>
      <c r="AM267" s="86">
        <v>13419786</v>
      </c>
    </row>
    <row r="268" spans="13:39" hidden="1">
      <c r="M268" s="131">
        <v>46018</v>
      </c>
      <c r="N268" s="222">
        <v>495316</v>
      </c>
      <c r="O268" s="132" t="s">
        <v>244</v>
      </c>
      <c r="P268" s="132" t="s">
        <v>245</v>
      </c>
      <c r="Q268" s="133">
        <v>338</v>
      </c>
      <c r="R268" s="132" t="s">
        <v>279</v>
      </c>
      <c r="S268" s="132" t="s">
        <v>11</v>
      </c>
      <c r="T268" s="134">
        <v>42246</v>
      </c>
      <c r="U268" s="172">
        <f t="shared" si="22"/>
        <v>2015</v>
      </c>
      <c r="V268" s="172">
        <f t="shared" si="23"/>
        <v>8</v>
      </c>
      <c r="W268" s="44" t="s">
        <v>291</v>
      </c>
      <c r="X268" t="s">
        <v>892</v>
      </c>
      <c r="Y268">
        <v>1</v>
      </c>
      <c r="AA268" s="13">
        <f t="shared" si="21"/>
        <v>46018</v>
      </c>
      <c r="AE268" s="43"/>
      <c r="AL268" s="87" t="s">
        <v>819</v>
      </c>
      <c r="AM268" s="86">
        <v>13527109</v>
      </c>
    </row>
    <row r="269" spans="13:39" hidden="1">
      <c r="M269" s="131">
        <v>46180</v>
      </c>
      <c r="N269" s="222">
        <v>556034</v>
      </c>
      <c r="O269" s="132" t="s">
        <v>244</v>
      </c>
      <c r="P269" s="132" t="s">
        <v>245</v>
      </c>
      <c r="Q269" s="133">
        <v>1329</v>
      </c>
      <c r="R269" s="132" t="s">
        <v>279</v>
      </c>
      <c r="S269" s="132" t="s">
        <v>11</v>
      </c>
      <c r="T269" s="134">
        <v>42548</v>
      </c>
      <c r="U269" s="172">
        <f t="shared" si="22"/>
        <v>2016</v>
      </c>
      <c r="V269" s="172">
        <f t="shared" si="23"/>
        <v>6</v>
      </c>
      <c r="W269" s="44" t="s">
        <v>280</v>
      </c>
      <c r="X269" t="s">
        <v>892</v>
      </c>
      <c r="Y269">
        <v>1</v>
      </c>
      <c r="AA269" s="13">
        <f t="shared" si="21"/>
        <v>46180</v>
      </c>
      <c r="AE269" s="43"/>
      <c r="AL269" s="87" t="s">
        <v>819</v>
      </c>
      <c r="AM269" s="86">
        <v>13594162</v>
      </c>
    </row>
    <row r="270" spans="13:39" hidden="1">
      <c r="M270" s="131">
        <v>46230</v>
      </c>
      <c r="N270" s="222">
        <v>562299</v>
      </c>
      <c r="O270" s="132" t="s">
        <v>244</v>
      </c>
      <c r="P270" s="132" t="s">
        <v>245</v>
      </c>
      <c r="Q270" s="133">
        <v>48</v>
      </c>
      <c r="R270" s="132" t="s">
        <v>279</v>
      </c>
      <c r="S270" s="132" t="s">
        <v>11</v>
      </c>
      <c r="T270" s="134">
        <v>42548</v>
      </c>
      <c r="U270" s="172">
        <f t="shared" si="22"/>
        <v>2016</v>
      </c>
      <c r="V270" s="172">
        <f t="shared" si="23"/>
        <v>6</v>
      </c>
      <c r="W270" s="44" t="s">
        <v>280</v>
      </c>
      <c r="X270" t="s">
        <v>892</v>
      </c>
      <c r="Y270">
        <v>1</v>
      </c>
      <c r="AA270" s="13">
        <f t="shared" si="21"/>
        <v>46230</v>
      </c>
      <c r="AE270" s="43"/>
      <c r="AL270" s="87" t="s">
        <v>819</v>
      </c>
      <c r="AM270" s="86">
        <v>13924295</v>
      </c>
    </row>
    <row r="271" spans="13:39" hidden="1">
      <c r="M271" s="131">
        <v>46416</v>
      </c>
      <c r="N271" s="222">
        <v>514458</v>
      </c>
      <c r="O271" s="132" t="s">
        <v>244</v>
      </c>
      <c r="P271" s="132" t="s">
        <v>245</v>
      </c>
      <c r="Q271" s="133">
        <v>1273</v>
      </c>
      <c r="R271" s="132" t="s">
        <v>279</v>
      </c>
      <c r="S271" s="132" t="s">
        <v>11</v>
      </c>
      <c r="T271" s="134">
        <v>42548</v>
      </c>
      <c r="U271" s="172">
        <f t="shared" si="22"/>
        <v>2016</v>
      </c>
      <c r="V271" s="172">
        <f t="shared" si="23"/>
        <v>6</v>
      </c>
      <c r="W271" s="44" t="s">
        <v>280</v>
      </c>
      <c r="X271" t="s">
        <v>892</v>
      </c>
      <c r="Y271">
        <v>1</v>
      </c>
      <c r="AA271" s="13">
        <f t="shared" si="21"/>
        <v>46416</v>
      </c>
      <c r="AE271" s="43"/>
      <c r="AL271" s="87" t="s">
        <v>819</v>
      </c>
      <c r="AM271" s="86">
        <v>13953777</v>
      </c>
    </row>
    <row r="272" spans="13:39" hidden="1">
      <c r="M272" s="131">
        <v>46602</v>
      </c>
      <c r="N272" s="222">
        <v>454823</v>
      </c>
      <c r="O272" s="132" t="s">
        <v>244</v>
      </c>
      <c r="P272" s="132" t="s">
        <v>245</v>
      </c>
      <c r="Q272" s="133">
        <v>1246</v>
      </c>
      <c r="R272" s="132" t="s">
        <v>279</v>
      </c>
      <c r="S272" s="132" t="s">
        <v>11</v>
      </c>
      <c r="T272" s="134">
        <v>42548</v>
      </c>
      <c r="U272" s="172">
        <f t="shared" si="22"/>
        <v>2016</v>
      </c>
      <c r="V272" s="172">
        <f t="shared" si="23"/>
        <v>6</v>
      </c>
      <c r="W272" s="44" t="s">
        <v>280</v>
      </c>
      <c r="X272" t="s">
        <v>892</v>
      </c>
      <c r="Y272">
        <v>1</v>
      </c>
      <c r="AA272" s="13">
        <f t="shared" si="21"/>
        <v>46602</v>
      </c>
      <c r="AE272" s="43"/>
      <c r="AL272" s="87" t="s">
        <v>819</v>
      </c>
      <c r="AM272" s="86">
        <v>14286488</v>
      </c>
    </row>
    <row r="273" spans="13:39" hidden="1">
      <c r="M273" s="131">
        <v>48800</v>
      </c>
      <c r="N273" s="222">
        <v>569702</v>
      </c>
      <c r="O273" s="132" t="s">
        <v>244</v>
      </c>
      <c r="P273" s="132" t="s">
        <v>245</v>
      </c>
      <c r="Q273" s="133">
        <v>1489</v>
      </c>
      <c r="R273" s="132" t="s">
        <v>279</v>
      </c>
      <c r="S273" s="132" t="s">
        <v>11</v>
      </c>
      <c r="T273" s="134">
        <v>42548</v>
      </c>
      <c r="U273" s="172">
        <f t="shared" si="22"/>
        <v>2016</v>
      </c>
      <c r="V273" s="172">
        <f t="shared" si="23"/>
        <v>6</v>
      </c>
      <c r="W273" s="44" t="s">
        <v>280</v>
      </c>
      <c r="X273" t="s">
        <v>892</v>
      </c>
      <c r="Y273">
        <v>1</v>
      </c>
      <c r="AA273" s="13">
        <f t="shared" si="21"/>
        <v>48800</v>
      </c>
      <c r="AE273" s="43"/>
      <c r="AL273" s="87" t="s">
        <v>819</v>
      </c>
      <c r="AM273" s="86">
        <v>14369629</v>
      </c>
    </row>
    <row r="274" spans="13:39" hidden="1">
      <c r="M274" s="131">
        <v>48801</v>
      </c>
      <c r="N274" s="222">
        <v>557173</v>
      </c>
      <c r="O274" s="132" t="s">
        <v>244</v>
      </c>
      <c r="P274" s="132" t="s">
        <v>245</v>
      </c>
      <c r="Q274" s="133">
        <v>1317</v>
      </c>
      <c r="R274" s="132" t="s">
        <v>279</v>
      </c>
      <c r="S274" s="132" t="s">
        <v>11</v>
      </c>
      <c r="T274" s="134">
        <v>42548</v>
      </c>
      <c r="U274" s="172">
        <f t="shared" si="22"/>
        <v>2016</v>
      </c>
      <c r="V274" s="172">
        <f t="shared" si="23"/>
        <v>6</v>
      </c>
      <c r="W274" s="44" t="s">
        <v>280</v>
      </c>
      <c r="X274" t="s">
        <v>892</v>
      </c>
      <c r="Y274">
        <v>1</v>
      </c>
      <c r="AA274" s="13">
        <f t="shared" si="21"/>
        <v>48801</v>
      </c>
      <c r="AE274" s="43"/>
      <c r="AL274" s="87" t="s">
        <v>819</v>
      </c>
      <c r="AM274" s="86">
        <v>14548931</v>
      </c>
    </row>
    <row r="275" spans="13:39" hidden="1">
      <c r="M275" s="131">
        <v>49100</v>
      </c>
      <c r="N275" s="222">
        <v>487385</v>
      </c>
      <c r="O275" s="132" t="s">
        <v>244</v>
      </c>
      <c r="P275" s="132" t="s">
        <v>245</v>
      </c>
      <c r="Q275" s="133">
        <v>72</v>
      </c>
      <c r="R275" s="132" t="s">
        <v>279</v>
      </c>
      <c r="S275" s="132" t="s">
        <v>11</v>
      </c>
      <c r="T275" s="134">
        <v>42246</v>
      </c>
      <c r="U275" s="172">
        <f t="shared" si="22"/>
        <v>2015</v>
      </c>
      <c r="V275" s="172">
        <f t="shared" si="23"/>
        <v>8</v>
      </c>
      <c r="W275" s="44" t="s">
        <v>291</v>
      </c>
      <c r="X275" t="s">
        <v>892</v>
      </c>
      <c r="Y275">
        <v>1</v>
      </c>
      <c r="AA275" s="13">
        <f t="shared" si="21"/>
        <v>49100</v>
      </c>
      <c r="AE275" s="43"/>
      <c r="AL275" s="87" t="s">
        <v>819</v>
      </c>
      <c r="AM275" s="86">
        <v>14596993</v>
      </c>
    </row>
    <row r="276" spans="13:39" hidden="1">
      <c r="M276" s="131">
        <v>49200</v>
      </c>
      <c r="N276" s="222">
        <v>542364</v>
      </c>
      <c r="O276" s="132" t="s">
        <v>244</v>
      </c>
      <c r="P276" s="132" t="s">
        <v>245</v>
      </c>
      <c r="Q276" s="133">
        <v>1567</v>
      </c>
      <c r="R276" s="132" t="s">
        <v>279</v>
      </c>
      <c r="S276" s="132" t="s">
        <v>11</v>
      </c>
      <c r="T276" s="134">
        <v>42548</v>
      </c>
      <c r="U276" s="172">
        <f t="shared" si="22"/>
        <v>2016</v>
      </c>
      <c r="V276" s="172">
        <f t="shared" si="23"/>
        <v>6</v>
      </c>
      <c r="W276" s="44" t="s">
        <v>280</v>
      </c>
      <c r="X276" t="s">
        <v>892</v>
      </c>
      <c r="Y276">
        <v>1</v>
      </c>
      <c r="AA276" s="13">
        <f t="shared" si="21"/>
        <v>49200</v>
      </c>
      <c r="AE276" s="43"/>
      <c r="AL276" s="87" t="s">
        <v>819</v>
      </c>
      <c r="AM276" s="86">
        <v>1474324</v>
      </c>
    </row>
    <row r="277" spans="13:39" hidden="1">
      <c r="M277" s="131">
        <v>49320</v>
      </c>
      <c r="N277" s="222">
        <v>550338</v>
      </c>
      <c r="O277" s="132" t="s">
        <v>244</v>
      </c>
      <c r="P277" s="132" t="s">
        <v>245</v>
      </c>
      <c r="Q277" s="133">
        <v>1453</v>
      </c>
      <c r="R277" s="132" t="s">
        <v>279</v>
      </c>
      <c r="S277" s="132" t="s">
        <v>11</v>
      </c>
      <c r="T277" s="134">
        <v>42548</v>
      </c>
      <c r="U277" s="172">
        <f t="shared" si="22"/>
        <v>2016</v>
      </c>
      <c r="V277" s="172">
        <f t="shared" si="23"/>
        <v>6</v>
      </c>
      <c r="W277" s="44" t="s">
        <v>280</v>
      </c>
      <c r="X277" t="s">
        <v>892</v>
      </c>
      <c r="Y277">
        <v>1</v>
      </c>
      <c r="AA277" s="13">
        <f t="shared" si="21"/>
        <v>49320</v>
      </c>
      <c r="AE277" s="43"/>
      <c r="AL277" s="87" t="s">
        <v>819</v>
      </c>
      <c r="AM277" s="86">
        <v>14758558</v>
      </c>
    </row>
    <row r="278" spans="13:39" hidden="1">
      <c r="M278" s="131">
        <v>49535</v>
      </c>
      <c r="N278" s="223">
        <v>542935</v>
      </c>
      <c r="O278" s="132" t="s">
        <v>244</v>
      </c>
      <c r="P278" s="132" t="s">
        <v>245</v>
      </c>
      <c r="Q278" s="133">
        <v>1430</v>
      </c>
      <c r="R278" s="132" t="s">
        <v>279</v>
      </c>
      <c r="S278" s="132" t="s">
        <v>11</v>
      </c>
      <c r="T278" s="134">
        <v>42548</v>
      </c>
      <c r="U278" s="172">
        <f t="shared" si="22"/>
        <v>2016</v>
      </c>
      <c r="V278" s="172">
        <f t="shared" si="23"/>
        <v>6</v>
      </c>
      <c r="W278" s="44" t="s">
        <v>280</v>
      </c>
      <c r="X278" t="s">
        <v>892</v>
      </c>
      <c r="Y278">
        <v>1</v>
      </c>
      <c r="AA278" s="13">
        <f t="shared" si="21"/>
        <v>49535</v>
      </c>
      <c r="AE278" s="43"/>
      <c r="AL278" s="87" t="s">
        <v>819</v>
      </c>
      <c r="AM278" s="86">
        <v>14830380</v>
      </c>
    </row>
    <row r="279" spans="13:39" hidden="1">
      <c r="M279" s="131">
        <v>49600</v>
      </c>
      <c r="N279" s="223">
        <v>491845</v>
      </c>
      <c r="O279" s="132" t="s">
        <v>244</v>
      </c>
      <c r="P279" s="132" t="s">
        <v>245</v>
      </c>
      <c r="Q279" s="133">
        <v>7</v>
      </c>
      <c r="R279" s="132" t="s">
        <v>279</v>
      </c>
      <c r="S279" s="132" t="s">
        <v>11</v>
      </c>
      <c r="T279" s="134">
        <v>42246</v>
      </c>
      <c r="U279" s="172">
        <f t="shared" si="22"/>
        <v>2015</v>
      </c>
      <c r="V279" s="172">
        <f t="shared" si="23"/>
        <v>8</v>
      </c>
      <c r="W279" s="44" t="s">
        <v>291</v>
      </c>
      <c r="X279" t="s">
        <v>892</v>
      </c>
      <c r="Y279">
        <v>1</v>
      </c>
      <c r="AA279" s="13">
        <f t="shared" si="21"/>
        <v>49600</v>
      </c>
      <c r="AE279" s="43"/>
      <c r="AL279" s="87" t="s">
        <v>819</v>
      </c>
      <c r="AM279" s="86">
        <v>15152322</v>
      </c>
    </row>
    <row r="280" spans="13:39" hidden="1">
      <c r="M280" s="131">
        <v>49725</v>
      </c>
      <c r="N280" s="223">
        <v>468492</v>
      </c>
      <c r="O280" s="132" t="s">
        <v>244</v>
      </c>
      <c r="P280" s="132" t="s">
        <v>245</v>
      </c>
      <c r="Q280" s="133">
        <v>1156</v>
      </c>
      <c r="R280" s="132" t="s">
        <v>279</v>
      </c>
      <c r="S280" s="132" t="s">
        <v>11</v>
      </c>
      <c r="T280" s="134">
        <v>42548</v>
      </c>
      <c r="U280" s="172">
        <f t="shared" si="22"/>
        <v>2016</v>
      </c>
      <c r="V280" s="172">
        <f t="shared" si="23"/>
        <v>6</v>
      </c>
      <c r="W280" s="44" t="s">
        <v>280</v>
      </c>
      <c r="X280" t="s">
        <v>892</v>
      </c>
      <c r="Y280">
        <v>1</v>
      </c>
      <c r="AA280" s="13">
        <f t="shared" si="21"/>
        <v>49725</v>
      </c>
      <c r="AE280" s="43"/>
      <c r="AL280" s="87" t="s">
        <v>819</v>
      </c>
      <c r="AM280" s="86">
        <v>15258703</v>
      </c>
    </row>
    <row r="281" spans="13:39" hidden="1">
      <c r="M281" s="131">
        <v>49950</v>
      </c>
      <c r="N281" s="223">
        <v>487385</v>
      </c>
      <c r="O281" s="132" t="s">
        <v>244</v>
      </c>
      <c r="P281" s="132" t="s">
        <v>245</v>
      </c>
      <c r="Q281" s="133">
        <v>322</v>
      </c>
      <c r="R281" s="132" t="s">
        <v>279</v>
      </c>
      <c r="S281" s="132" t="s">
        <v>11</v>
      </c>
      <c r="T281" s="134">
        <v>42246</v>
      </c>
      <c r="U281" s="172">
        <f t="shared" si="22"/>
        <v>2015</v>
      </c>
      <c r="V281" s="172">
        <f t="shared" si="23"/>
        <v>8</v>
      </c>
      <c r="W281" s="44" t="s">
        <v>291</v>
      </c>
      <c r="X281" t="s">
        <v>892</v>
      </c>
      <c r="Y281">
        <v>1</v>
      </c>
      <c r="AA281" s="13">
        <f t="shared" si="21"/>
        <v>49950</v>
      </c>
      <c r="AE281" s="43"/>
      <c r="AL281" s="87" t="s">
        <v>819</v>
      </c>
      <c r="AM281" s="86">
        <v>15261526</v>
      </c>
    </row>
    <row r="282" spans="13:39" hidden="1">
      <c r="M282" s="131">
        <v>50000</v>
      </c>
      <c r="N282" s="223">
        <v>460519</v>
      </c>
      <c r="O282" s="132" t="s">
        <v>244</v>
      </c>
      <c r="P282" s="132" t="s">
        <v>245</v>
      </c>
      <c r="Q282" s="133">
        <v>1134</v>
      </c>
      <c r="R282" s="132" t="s">
        <v>279</v>
      </c>
      <c r="S282" s="132" t="s">
        <v>11</v>
      </c>
      <c r="T282" s="134">
        <v>42548</v>
      </c>
      <c r="U282" s="172">
        <f t="shared" si="22"/>
        <v>2016</v>
      </c>
      <c r="V282" s="172">
        <f t="shared" si="23"/>
        <v>6</v>
      </c>
      <c r="W282" s="44" t="s">
        <v>280</v>
      </c>
      <c r="X282" t="s">
        <v>892</v>
      </c>
      <c r="Y282">
        <v>1</v>
      </c>
      <c r="AA282" s="13">
        <f t="shared" si="21"/>
        <v>50000</v>
      </c>
      <c r="AE282" s="43"/>
      <c r="AL282" s="87" t="s">
        <v>819</v>
      </c>
      <c r="AM282" s="86">
        <v>15291148</v>
      </c>
    </row>
    <row r="283" spans="13:39" hidden="1">
      <c r="M283" s="131">
        <v>50000</v>
      </c>
      <c r="N283" s="223">
        <v>482925</v>
      </c>
      <c r="O283" s="132" t="s">
        <v>244</v>
      </c>
      <c r="P283" s="132" t="s">
        <v>245</v>
      </c>
      <c r="Q283" s="133">
        <v>188</v>
      </c>
      <c r="R283" s="132" t="s">
        <v>279</v>
      </c>
      <c r="S283" s="132" t="s">
        <v>11</v>
      </c>
      <c r="T283" s="134">
        <v>42246</v>
      </c>
      <c r="U283" s="172">
        <f t="shared" si="22"/>
        <v>2015</v>
      </c>
      <c r="V283" s="172">
        <f t="shared" si="23"/>
        <v>8</v>
      </c>
      <c r="W283" s="44" t="s">
        <v>291</v>
      </c>
      <c r="X283" t="s">
        <v>892</v>
      </c>
      <c r="Y283">
        <v>1</v>
      </c>
      <c r="AA283" s="13">
        <f t="shared" si="21"/>
        <v>50000</v>
      </c>
      <c r="AE283" s="43"/>
      <c r="AL283" s="87" t="s">
        <v>819</v>
      </c>
      <c r="AM283" s="86">
        <v>15410571</v>
      </c>
    </row>
    <row r="284" spans="13:39" hidden="1">
      <c r="M284" s="131">
        <v>50000</v>
      </c>
      <c r="N284" s="223">
        <v>483870</v>
      </c>
      <c r="O284" s="132" t="s">
        <v>244</v>
      </c>
      <c r="P284" s="132" t="s">
        <v>245</v>
      </c>
      <c r="Q284" s="133">
        <v>1537</v>
      </c>
      <c r="R284" s="132" t="s">
        <v>279</v>
      </c>
      <c r="S284" s="132" t="s">
        <v>11</v>
      </c>
      <c r="T284" s="134">
        <v>42548</v>
      </c>
      <c r="U284" s="172">
        <f t="shared" si="22"/>
        <v>2016</v>
      </c>
      <c r="V284" s="172">
        <f t="shared" si="23"/>
        <v>6</v>
      </c>
      <c r="W284" s="44" t="s">
        <v>280</v>
      </c>
      <c r="X284" t="s">
        <v>892</v>
      </c>
      <c r="Y284">
        <v>1</v>
      </c>
      <c r="AA284" s="13">
        <f t="shared" si="21"/>
        <v>50000</v>
      </c>
      <c r="AE284" s="43"/>
      <c r="AL284" s="87" t="s">
        <v>819</v>
      </c>
      <c r="AM284" s="86">
        <v>15426226</v>
      </c>
    </row>
    <row r="285" spans="13:39" hidden="1">
      <c r="M285" s="131">
        <v>50000</v>
      </c>
      <c r="N285" s="223">
        <v>514458</v>
      </c>
      <c r="O285" s="132" t="s">
        <v>244</v>
      </c>
      <c r="P285" s="132" t="s">
        <v>245</v>
      </c>
      <c r="Q285" s="133">
        <v>1237</v>
      </c>
      <c r="R285" s="132" t="s">
        <v>279</v>
      </c>
      <c r="S285" s="132" t="s">
        <v>11</v>
      </c>
      <c r="T285" s="134">
        <v>42548</v>
      </c>
      <c r="U285" s="172">
        <f t="shared" si="22"/>
        <v>2016</v>
      </c>
      <c r="V285" s="172">
        <f t="shared" si="23"/>
        <v>6</v>
      </c>
      <c r="W285" s="44" t="s">
        <v>280</v>
      </c>
      <c r="X285" t="s">
        <v>892</v>
      </c>
      <c r="Y285">
        <v>1</v>
      </c>
      <c r="AA285" s="13">
        <f t="shared" si="21"/>
        <v>50000</v>
      </c>
      <c r="AE285" s="43"/>
      <c r="AL285" s="87" t="s">
        <v>819</v>
      </c>
      <c r="AM285" s="86">
        <v>15470393</v>
      </c>
    </row>
    <row r="286" spans="13:39" hidden="1">
      <c r="M286" s="131">
        <v>50000</v>
      </c>
      <c r="N286" s="223">
        <v>544074</v>
      </c>
      <c r="O286" s="132" t="s">
        <v>244</v>
      </c>
      <c r="P286" s="132" t="s">
        <v>245</v>
      </c>
      <c r="Q286" s="133">
        <v>1462</v>
      </c>
      <c r="R286" s="132" t="s">
        <v>279</v>
      </c>
      <c r="S286" s="132" t="s">
        <v>11</v>
      </c>
      <c r="T286" s="134">
        <v>42548</v>
      </c>
      <c r="U286" s="172">
        <f t="shared" si="22"/>
        <v>2016</v>
      </c>
      <c r="V286" s="172">
        <f t="shared" si="23"/>
        <v>6</v>
      </c>
      <c r="W286" s="44" t="s">
        <v>280</v>
      </c>
      <c r="X286" t="s">
        <v>892</v>
      </c>
      <c r="Y286">
        <v>1</v>
      </c>
      <c r="AA286" s="13">
        <f t="shared" si="21"/>
        <v>50000</v>
      </c>
      <c r="AE286" s="43"/>
      <c r="AL286" s="87" t="s">
        <v>819</v>
      </c>
      <c r="AM286" s="86">
        <v>1549968</v>
      </c>
    </row>
    <row r="287" spans="13:39" hidden="1">
      <c r="M287" s="131">
        <v>50100</v>
      </c>
      <c r="N287" s="223">
        <v>559450</v>
      </c>
      <c r="O287" s="132" t="s">
        <v>244</v>
      </c>
      <c r="P287" s="132" t="s">
        <v>245</v>
      </c>
      <c r="Q287" s="133">
        <v>4</v>
      </c>
      <c r="R287" s="132" t="s">
        <v>279</v>
      </c>
      <c r="S287" s="132" t="s">
        <v>11</v>
      </c>
      <c r="T287" s="134">
        <v>42548</v>
      </c>
      <c r="U287" s="172">
        <f t="shared" si="22"/>
        <v>2016</v>
      </c>
      <c r="V287" s="172">
        <f t="shared" si="23"/>
        <v>6</v>
      </c>
      <c r="W287" s="44" t="s">
        <v>280</v>
      </c>
      <c r="X287" t="s">
        <v>892</v>
      </c>
      <c r="Y287">
        <v>1</v>
      </c>
      <c r="AA287" s="13">
        <f t="shared" si="21"/>
        <v>50100</v>
      </c>
      <c r="AE287" s="43"/>
      <c r="AL287" s="87" t="s">
        <v>819</v>
      </c>
      <c r="AM287" s="86">
        <v>1549968</v>
      </c>
    </row>
    <row r="288" spans="13:39" hidden="1">
      <c r="M288" s="131">
        <v>50700</v>
      </c>
      <c r="N288" s="223">
        <v>547490</v>
      </c>
      <c r="O288" s="132" t="s">
        <v>244</v>
      </c>
      <c r="P288" s="132" t="s">
        <v>245</v>
      </c>
      <c r="Q288" s="133">
        <v>1477</v>
      </c>
      <c r="R288" s="132" t="s">
        <v>279</v>
      </c>
      <c r="S288" s="132" t="s">
        <v>11</v>
      </c>
      <c r="T288" s="134">
        <v>42548</v>
      </c>
      <c r="U288" s="172">
        <f t="shared" si="22"/>
        <v>2016</v>
      </c>
      <c r="V288" s="172">
        <f t="shared" si="23"/>
        <v>6</v>
      </c>
      <c r="W288" s="44" t="s">
        <v>280</v>
      </c>
      <c r="X288" t="s">
        <v>892</v>
      </c>
      <c r="Y288">
        <v>1</v>
      </c>
      <c r="AA288" s="13">
        <f t="shared" si="21"/>
        <v>50700</v>
      </c>
      <c r="AE288" s="43"/>
      <c r="AL288" s="87" t="s">
        <v>819</v>
      </c>
      <c r="AM288" s="86">
        <v>15745367</v>
      </c>
    </row>
    <row r="289" spans="13:39" hidden="1">
      <c r="M289" s="131">
        <v>50999</v>
      </c>
      <c r="N289" s="223">
        <v>594761</v>
      </c>
      <c r="O289" s="132" t="s">
        <v>244</v>
      </c>
      <c r="P289" s="132" t="s">
        <v>245</v>
      </c>
      <c r="Q289" s="133">
        <v>213</v>
      </c>
      <c r="R289" s="132" t="s">
        <v>279</v>
      </c>
      <c r="S289" s="132" t="s">
        <v>11</v>
      </c>
      <c r="T289" s="134">
        <v>42548</v>
      </c>
      <c r="U289" s="172">
        <f t="shared" si="22"/>
        <v>2016</v>
      </c>
      <c r="V289" s="172">
        <f t="shared" si="23"/>
        <v>6</v>
      </c>
      <c r="W289" s="44" t="s">
        <v>280</v>
      </c>
      <c r="X289" t="s">
        <v>892</v>
      </c>
      <c r="Y289">
        <v>1</v>
      </c>
      <c r="AA289" s="13">
        <f t="shared" si="21"/>
        <v>50999</v>
      </c>
      <c r="AE289" s="43"/>
      <c r="AL289" s="87" t="s">
        <v>819</v>
      </c>
      <c r="AM289" s="86">
        <v>16100268</v>
      </c>
    </row>
    <row r="290" spans="13:39" hidden="1">
      <c r="M290" s="131">
        <v>51000</v>
      </c>
      <c r="N290" s="223">
        <v>468492</v>
      </c>
      <c r="O290" s="132" t="s">
        <v>244</v>
      </c>
      <c r="P290" s="132" t="s">
        <v>245</v>
      </c>
      <c r="Q290" s="133">
        <v>1393</v>
      </c>
      <c r="R290" s="132" t="s">
        <v>279</v>
      </c>
      <c r="S290" s="132" t="s">
        <v>11</v>
      </c>
      <c r="T290" s="134">
        <v>42548</v>
      </c>
      <c r="U290" s="172">
        <f t="shared" si="22"/>
        <v>2016</v>
      </c>
      <c r="V290" s="172">
        <f t="shared" si="23"/>
        <v>6</v>
      </c>
      <c r="W290" s="44" t="s">
        <v>280</v>
      </c>
      <c r="X290" t="s">
        <v>892</v>
      </c>
      <c r="Y290">
        <v>1</v>
      </c>
      <c r="AA290" s="13">
        <f t="shared" si="21"/>
        <v>51000</v>
      </c>
      <c r="AE290" s="43"/>
      <c r="AL290" s="87" t="s">
        <v>819</v>
      </c>
      <c r="AM290" s="86">
        <v>16319951</v>
      </c>
    </row>
    <row r="291" spans="13:39" hidden="1">
      <c r="M291" s="131">
        <v>51000</v>
      </c>
      <c r="N291" s="223">
        <v>468492</v>
      </c>
      <c r="O291" s="132" t="s">
        <v>244</v>
      </c>
      <c r="P291" s="132" t="s">
        <v>245</v>
      </c>
      <c r="Q291" s="133">
        <v>1394</v>
      </c>
      <c r="R291" s="132" t="s">
        <v>279</v>
      </c>
      <c r="S291" s="132" t="s">
        <v>11</v>
      </c>
      <c r="T291" s="134">
        <v>42548</v>
      </c>
      <c r="U291" s="172">
        <f t="shared" si="22"/>
        <v>2016</v>
      </c>
      <c r="V291" s="172">
        <f t="shared" si="23"/>
        <v>6</v>
      </c>
      <c r="W291" s="44" t="s">
        <v>280</v>
      </c>
      <c r="X291" t="s">
        <v>892</v>
      </c>
      <c r="Y291">
        <v>1</v>
      </c>
      <c r="AA291" s="13">
        <f t="shared" si="21"/>
        <v>51000</v>
      </c>
      <c r="AE291" s="43"/>
      <c r="AL291" s="87" t="s">
        <v>819</v>
      </c>
      <c r="AM291" s="86">
        <v>16545926</v>
      </c>
    </row>
    <row r="292" spans="13:39" hidden="1">
      <c r="M292" s="131">
        <v>51000</v>
      </c>
      <c r="N292" s="223">
        <v>486147</v>
      </c>
      <c r="O292" s="132" t="s">
        <v>244</v>
      </c>
      <c r="P292" s="132" t="s">
        <v>245</v>
      </c>
      <c r="Q292" s="133">
        <v>1538</v>
      </c>
      <c r="R292" s="132" t="s">
        <v>279</v>
      </c>
      <c r="S292" s="132" t="s">
        <v>11</v>
      </c>
      <c r="T292" s="134">
        <v>42548</v>
      </c>
      <c r="U292" s="172">
        <f t="shared" si="22"/>
        <v>2016</v>
      </c>
      <c r="V292" s="172">
        <f t="shared" si="23"/>
        <v>6</v>
      </c>
      <c r="W292" s="44" t="s">
        <v>280</v>
      </c>
      <c r="X292" t="s">
        <v>892</v>
      </c>
      <c r="Y292">
        <v>1</v>
      </c>
      <c r="AA292" s="13">
        <f t="shared" si="21"/>
        <v>51000</v>
      </c>
      <c r="AE292" s="43"/>
      <c r="AL292" s="87" t="s">
        <v>819</v>
      </c>
      <c r="AM292" s="86">
        <v>16593548</v>
      </c>
    </row>
    <row r="293" spans="13:39" hidden="1">
      <c r="M293" s="131">
        <v>51000</v>
      </c>
      <c r="N293" s="223">
        <v>516737</v>
      </c>
      <c r="O293" s="132" t="s">
        <v>244</v>
      </c>
      <c r="P293" s="132" t="s">
        <v>245</v>
      </c>
      <c r="Q293" s="133">
        <v>1540</v>
      </c>
      <c r="R293" s="132" t="s">
        <v>279</v>
      </c>
      <c r="S293" s="132" t="s">
        <v>11</v>
      </c>
      <c r="T293" s="134">
        <v>42548</v>
      </c>
      <c r="U293" s="172">
        <f t="shared" si="22"/>
        <v>2016</v>
      </c>
      <c r="V293" s="172">
        <f t="shared" si="23"/>
        <v>6</v>
      </c>
      <c r="W293" s="44" t="s">
        <v>280</v>
      </c>
      <c r="X293" t="s">
        <v>892</v>
      </c>
      <c r="Y293">
        <v>1</v>
      </c>
      <c r="AA293" s="13">
        <f t="shared" si="21"/>
        <v>51000</v>
      </c>
      <c r="AE293" s="43"/>
      <c r="AL293" s="87" t="s">
        <v>819</v>
      </c>
      <c r="AM293" s="86">
        <v>16593548</v>
      </c>
    </row>
    <row r="294" spans="13:39" hidden="1">
      <c r="M294" s="131">
        <v>51000</v>
      </c>
      <c r="N294" s="223">
        <v>530975</v>
      </c>
      <c r="O294" s="132" t="s">
        <v>244</v>
      </c>
      <c r="P294" s="132" t="s">
        <v>245</v>
      </c>
      <c r="Q294" s="133">
        <v>1120</v>
      </c>
      <c r="R294" s="132" t="s">
        <v>279</v>
      </c>
      <c r="S294" s="132" t="s">
        <v>11</v>
      </c>
      <c r="T294" s="134">
        <v>42548</v>
      </c>
      <c r="U294" s="172">
        <f t="shared" si="22"/>
        <v>2016</v>
      </c>
      <c r="V294" s="172">
        <f t="shared" si="23"/>
        <v>6</v>
      </c>
      <c r="W294" s="44" t="s">
        <v>280</v>
      </c>
      <c r="X294" t="s">
        <v>892</v>
      </c>
      <c r="Y294">
        <v>1</v>
      </c>
      <c r="AA294" s="13">
        <f t="shared" si="21"/>
        <v>51000</v>
      </c>
      <c r="AE294" s="43"/>
      <c r="AL294" s="87" t="s">
        <v>819</v>
      </c>
      <c r="AM294" s="86">
        <v>16827394</v>
      </c>
    </row>
    <row r="295" spans="13:39" hidden="1">
      <c r="M295" s="131">
        <v>51000</v>
      </c>
      <c r="N295" s="223">
        <v>545782</v>
      </c>
      <c r="O295" s="132" t="s">
        <v>244</v>
      </c>
      <c r="P295" s="132" t="s">
        <v>245</v>
      </c>
      <c r="Q295" s="133">
        <v>1212</v>
      </c>
      <c r="R295" s="132" t="s">
        <v>279</v>
      </c>
      <c r="S295" s="132" t="s">
        <v>11</v>
      </c>
      <c r="T295" s="134">
        <v>42548</v>
      </c>
      <c r="U295" s="172">
        <f t="shared" si="22"/>
        <v>2016</v>
      </c>
      <c r="V295" s="172">
        <f t="shared" si="23"/>
        <v>6</v>
      </c>
      <c r="W295" s="44" t="s">
        <v>280</v>
      </c>
      <c r="X295" t="s">
        <v>892</v>
      </c>
      <c r="Y295">
        <v>1</v>
      </c>
      <c r="AA295" s="13">
        <f t="shared" si="21"/>
        <v>51000</v>
      </c>
      <c r="AE295" s="43"/>
      <c r="AL295" s="87" t="s">
        <v>819</v>
      </c>
      <c r="AM295" s="86">
        <v>16905892</v>
      </c>
    </row>
    <row r="296" spans="13:39" hidden="1">
      <c r="M296" s="131">
        <v>51111</v>
      </c>
      <c r="N296" s="223">
        <v>565147</v>
      </c>
      <c r="O296" s="132" t="s">
        <v>244</v>
      </c>
      <c r="P296" s="132" t="s">
        <v>245</v>
      </c>
      <c r="Q296" s="133">
        <v>1492</v>
      </c>
      <c r="R296" s="132" t="s">
        <v>279</v>
      </c>
      <c r="S296" s="132" t="s">
        <v>11</v>
      </c>
      <c r="T296" s="134">
        <v>42548</v>
      </c>
      <c r="U296" s="172">
        <f t="shared" si="22"/>
        <v>2016</v>
      </c>
      <c r="V296" s="172">
        <f t="shared" si="23"/>
        <v>6</v>
      </c>
      <c r="W296" s="44" t="s">
        <v>280</v>
      </c>
      <c r="X296" t="s">
        <v>892</v>
      </c>
      <c r="Y296">
        <v>1</v>
      </c>
      <c r="AA296" s="13">
        <f t="shared" si="21"/>
        <v>51111</v>
      </c>
      <c r="AE296" s="43"/>
      <c r="AL296" s="87" t="s">
        <v>819</v>
      </c>
      <c r="AM296" s="86">
        <v>1738407</v>
      </c>
    </row>
    <row r="297" spans="13:39" hidden="1">
      <c r="M297" s="131">
        <v>51111</v>
      </c>
      <c r="N297" s="223">
        <v>566855</v>
      </c>
      <c r="O297" s="132" t="s">
        <v>244</v>
      </c>
      <c r="P297" s="132" t="s">
        <v>245</v>
      </c>
      <c r="Q297" s="133">
        <v>1005</v>
      </c>
      <c r="R297" s="132" t="s">
        <v>279</v>
      </c>
      <c r="S297" s="132" t="s">
        <v>11</v>
      </c>
      <c r="T297" s="134">
        <v>42548</v>
      </c>
      <c r="U297" s="172">
        <f t="shared" si="22"/>
        <v>2016</v>
      </c>
      <c r="V297" s="172">
        <f t="shared" si="23"/>
        <v>6</v>
      </c>
      <c r="W297" s="44" t="s">
        <v>280</v>
      </c>
      <c r="X297" t="s">
        <v>892</v>
      </c>
      <c r="Y297">
        <v>1</v>
      </c>
      <c r="AA297" s="13">
        <f t="shared" si="21"/>
        <v>51111</v>
      </c>
      <c r="AE297" s="43"/>
      <c r="AL297" s="87" t="s">
        <v>819</v>
      </c>
      <c r="AM297" s="86">
        <v>17798202</v>
      </c>
    </row>
    <row r="298" spans="13:39" hidden="1">
      <c r="M298" s="131">
        <v>51202</v>
      </c>
      <c r="N298" s="223">
        <v>514458</v>
      </c>
      <c r="O298" s="132" t="s">
        <v>244</v>
      </c>
      <c r="P298" s="132" t="s">
        <v>245</v>
      </c>
      <c r="Q298" s="133">
        <v>1269</v>
      </c>
      <c r="R298" s="132" t="s">
        <v>279</v>
      </c>
      <c r="S298" s="132" t="s">
        <v>11</v>
      </c>
      <c r="T298" s="134">
        <v>42548</v>
      </c>
      <c r="U298" s="172">
        <f t="shared" si="22"/>
        <v>2016</v>
      </c>
      <c r="V298" s="172">
        <f t="shared" si="23"/>
        <v>6</v>
      </c>
      <c r="W298" s="44" t="s">
        <v>280</v>
      </c>
      <c r="X298" t="s">
        <v>892</v>
      </c>
      <c r="Y298">
        <v>1</v>
      </c>
      <c r="AA298" s="13">
        <f t="shared" si="21"/>
        <v>51202</v>
      </c>
      <c r="AE298" s="43"/>
      <c r="AL298" s="87" t="s">
        <v>819</v>
      </c>
      <c r="AM298" s="86">
        <v>17870281</v>
      </c>
    </row>
    <row r="299" spans="13:39" hidden="1">
      <c r="M299" s="131">
        <v>51219</v>
      </c>
      <c r="N299" s="223">
        <v>542364</v>
      </c>
      <c r="O299" s="132" t="s">
        <v>244</v>
      </c>
      <c r="P299" s="132" t="s">
        <v>245</v>
      </c>
      <c r="Q299" s="133">
        <v>1569</v>
      </c>
      <c r="R299" s="132" t="s">
        <v>279</v>
      </c>
      <c r="S299" s="132" t="s">
        <v>11</v>
      </c>
      <c r="T299" s="134">
        <v>42548</v>
      </c>
      <c r="U299" s="172">
        <f t="shared" si="22"/>
        <v>2016</v>
      </c>
      <c r="V299" s="172">
        <f t="shared" si="23"/>
        <v>6</v>
      </c>
      <c r="W299" s="44" t="s">
        <v>280</v>
      </c>
      <c r="X299" t="s">
        <v>892</v>
      </c>
      <c r="Y299">
        <v>1</v>
      </c>
      <c r="AA299" s="13">
        <f t="shared" si="21"/>
        <v>51219</v>
      </c>
      <c r="AE299" s="43"/>
      <c r="AL299" s="87" t="s">
        <v>819</v>
      </c>
      <c r="AM299" s="86">
        <v>18161751</v>
      </c>
    </row>
    <row r="300" spans="13:39" hidden="1">
      <c r="M300" s="131">
        <v>51360</v>
      </c>
      <c r="N300" s="223">
        <v>542364</v>
      </c>
      <c r="O300" s="132" t="s">
        <v>244</v>
      </c>
      <c r="P300" s="132" t="s">
        <v>245</v>
      </c>
      <c r="Q300" s="133">
        <v>1568</v>
      </c>
      <c r="R300" s="132" t="s">
        <v>279</v>
      </c>
      <c r="S300" s="132" t="s">
        <v>11</v>
      </c>
      <c r="T300" s="134">
        <v>42548</v>
      </c>
      <c r="U300" s="172">
        <f t="shared" si="22"/>
        <v>2016</v>
      </c>
      <c r="V300" s="172">
        <f t="shared" si="23"/>
        <v>6</v>
      </c>
      <c r="W300" s="44" t="s">
        <v>280</v>
      </c>
      <c r="X300" t="s">
        <v>892</v>
      </c>
      <c r="Y300">
        <v>1</v>
      </c>
      <c r="AA300" s="13">
        <f t="shared" si="21"/>
        <v>51360</v>
      </c>
      <c r="AE300" s="43"/>
      <c r="AL300" s="87" t="s">
        <v>819</v>
      </c>
      <c r="AM300" s="86">
        <v>18519042</v>
      </c>
    </row>
    <row r="301" spans="13:39" hidden="1">
      <c r="M301" s="131">
        <v>51501</v>
      </c>
      <c r="N301" s="223">
        <v>557173</v>
      </c>
      <c r="O301" s="132" t="s">
        <v>244</v>
      </c>
      <c r="P301" s="132" t="s">
        <v>245</v>
      </c>
      <c r="Q301" s="133">
        <v>49</v>
      </c>
      <c r="R301" s="132" t="s">
        <v>279</v>
      </c>
      <c r="S301" s="132" t="s">
        <v>11</v>
      </c>
      <c r="T301" s="134">
        <v>42548</v>
      </c>
      <c r="U301" s="172">
        <f t="shared" si="22"/>
        <v>2016</v>
      </c>
      <c r="V301" s="172">
        <f t="shared" si="23"/>
        <v>6</v>
      </c>
      <c r="W301" s="44" t="s">
        <v>280</v>
      </c>
      <c r="X301" t="s">
        <v>892</v>
      </c>
      <c r="Y301">
        <v>1</v>
      </c>
      <c r="AA301" s="13">
        <f t="shared" si="21"/>
        <v>51501</v>
      </c>
      <c r="AE301" s="43"/>
      <c r="AL301" s="87" t="s">
        <v>819</v>
      </c>
      <c r="AM301" s="86">
        <v>1859962</v>
      </c>
    </row>
    <row r="302" spans="13:39" hidden="1">
      <c r="M302" s="131">
        <v>51702</v>
      </c>
      <c r="N302" s="223">
        <v>514458</v>
      </c>
      <c r="O302" s="132" t="s">
        <v>244</v>
      </c>
      <c r="P302" s="132" t="s">
        <v>245</v>
      </c>
      <c r="Q302" s="133">
        <v>1266</v>
      </c>
      <c r="R302" s="132" t="s">
        <v>279</v>
      </c>
      <c r="S302" s="132" t="s">
        <v>11</v>
      </c>
      <c r="T302" s="134">
        <v>42548</v>
      </c>
      <c r="U302" s="172">
        <f t="shared" si="22"/>
        <v>2016</v>
      </c>
      <c r="V302" s="172">
        <f t="shared" si="23"/>
        <v>6</v>
      </c>
      <c r="W302" s="44" t="s">
        <v>280</v>
      </c>
      <c r="X302" t="s">
        <v>892</v>
      </c>
      <c r="Y302">
        <v>1</v>
      </c>
      <c r="AA302" s="13">
        <f t="shared" si="21"/>
        <v>51702</v>
      </c>
      <c r="AE302" s="43"/>
      <c r="AL302" s="87" t="s">
        <v>819</v>
      </c>
      <c r="AM302" s="86">
        <v>1860754</v>
      </c>
    </row>
    <row r="303" spans="13:39" hidden="1">
      <c r="M303" s="131">
        <v>51790</v>
      </c>
      <c r="N303" s="223">
        <v>481592</v>
      </c>
      <c r="O303" s="132" t="s">
        <v>244</v>
      </c>
      <c r="P303" s="132" t="s">
        <v>245</v>
      </c>
      <c r="Q303" s="133">
        <v>1279</v>
      </c>
      <c r="R303" s="132" t="s">
        <v>279</v>
      </c>
      <c r="S303" s="132" t="s">
        <v>11</v>
      </c>
      <c r="T303" s="134">
        <v>42548</v>
      </c>
      <c r="U303" s="172">
        <f t="shared" si="22"/>
        <v>2016</v>
      </c>
      <c r="V303" s="172">
        <f t="shared" si="23"/>
        <v>6</v>
      </c>
      <c r="W303" s="44" t="s">
        <v>280</v>
      </c>
      <c r="X303" t="s">
        <v>892</v>
      </c>
      <c r="Y303">
        <v>1</v>
      </c>
      <c r="AA303" s="13">
        <f t="shared" si="21"/>
        <v>51790</v>
      </c>
      <c r="AE303" s="43"/>
      <c r="AL303" s="87" t="s">
        <v>819</v>
      </c>
      <c r="AM303" s="86">
        <v>1860754</v>
      </c>
    </row>
    <row r="304" spans="13:39" hidden="1">
      <c r="M304" s="131">
        <v>52000</v>
      </c>
      <c r="N304" s="223">
        <v>483916</v>
      </c>
      <c r="O304" s="132" t="s">
        <v>244</v>
      </c>
      <c r="P304" s="132" t="s">
        <v>245</v>
      </c>
      <c r="Q304" s="133">
        <v>64</v>
      </c>
      <c r="R304" s="132" t="s">
        <v>279</v>
      </c>
      <c r="S304" s="132" t="s">
        <v>11</v>
      </c>
      <c r="T304" s="134">
        <v>42246</v>
      </c>
      <c r="U304" s="172">
        <f t="shared" si="22"/>
        <v>2015</v>
      </c>
      <c r="V304" s="172">
        <f t="shared" si="23"/>
        <v>8</v>
      </c>
      <c r="W304" s="44" t="s">
        <v>291</v>
      </c>
      <c r="X304" t="s">
        <v>892</v>
      </c>
      <c r="Y304">
        <v>1</v>
      </c>
      <c r="AA304" s="13">
        <f t="shared" si="21"/>
        <v>52000</v>
      </c>
      <c r="AE304" s="43"/>
      <c r="AL304" s="87" t="s">
        <v>819</v>
      </c>
      <c r="AM304" s="86">
        <v>1860754</v>
      </c>
    </row>
    <row r="305" spans="13:39" hidden="1">
      <c r="M305" s="131">
        <v>52000</v>
      </c>
      <c r="N305" s="223">
        <v>518445</v>
      </c>
      <c r="O305" s="132" t="s">
        <v>244</v>
      </c>
      <c r="P305" s="132" t="s">
        <v>245</v>
      </c>
      <c r="Q305" s="133">
        <v>1255</v>
      </c>
      <c r="R305" s="132" t="s">
        <v>279</v>
      </c>
      <c r="S305" s="132" t="s">
        <v>11</v>
      </c>
      <c r="T305" s="134">
        <v>42548</v>
      </c>
      <c r="U305" s="172">
        <f t="shared" si="22"/>
        <v>2016</v>
      </c>
      <c r="V305" s="172">
        <f t="shared" si="23"/>
        <v>6</v>
      </c>
      <c r="W305" s="44" t="s">
        <v>280</v>
      </c>
      <c r="X305" t="s">
        <v>892</v>
      </c>
      <c r="Y305">
        <v>1</v>
      </c>
      <c r="AA305" s="13">
        <f t="shared" si="21"/>
        <v>52000</v>
      </c>
      <c r="AE305" s="43"/>
      <c r="AL305" s="87" t="s">
        <v>819</v>
      </c>
      <c r="AM305" s="86">
        <v>1860754</v>
      </c>
    </row>
    <row r="306" spans="13:39" hidden="1">
      <c r="M306" s="131">
        <v>52200</v>
      </c>
      <c r="N306" s="223">
        <v>555464</v>
      </c>
      <c r="O306" s="132" t="s">
        <v>244</v>
      </c>
      <c r="P306" s="132" t="s">
        <v>245</v>
      </c>
      <c r="Q306" s="133">
        <v>1014</v>
      </c>
      <c r="R306" s="132" t="s">
        <v>279</v>
      </c>
      <c r="S306" s="132" t="s">
        <v>11</v>
      </c>
      <c r="T306" s="134">
        <v>42548</v>
      </c>
      <c r="U306" s="172">
        <f t="shared" si="22"/>
        <v>2016</v>
      </c>
      <c r="V306" s="172">
        <f t="shared" si="23"/>
        <v>6</v>
      </c>
      <c r="W306" s="44" t="s">
        <v>280</v>
      </c>
      <c r="X306" t="s">
        <v>892</v>
      </c>
      <c r="Y306">
        <v>1</v>
      </c>
      <c r="AA306" s="13">
        <f t="shared" si="21"/>
        <v>52200</v>
      </c>
      <c r="AE306" s="43"/>
      <c r="AL306" s="87" t="s">
        <v>819</v>
      </c>
      <c r="AM306" s="86">
        <v>18692890</v>
      </c>
    </row>
    <row r="307" spans="13:39" hidden="1">
      <c r="M307" s="131">
        <v>52300</v>
      </c>
      <c r="N307" s="223">
        <v>561729</v>
      </c>
      <c r="O307" s="132" t="s">
        <v>244</v>
      </c>
      <c r="P307" s="132" t="s">
        <v>245</v>
      </c>
      <c r="Q307" s="133">
        <v>1006</v>
      </c>
      <c r="R307" s="132" t="s">
        <v>279</v>
      </c>
      <c r="S307" s="132" t="s">
        <v>11</v>
      </c>
      <c r="T307" s="134">
        <v>42548</v>
      </c>
      <c r="U307" s="172">
        <f t="shared" si="22"/>
        <v>2016</v>
      </c>
      <c r="V307" s="172">
        <f t="shared" si="23"/>
        <v>6</v>
      </c>
      <c r="W307" s="44" t="s">
        <v>280</v>
      </c>
      <c r="X307" t="s">
        <v>892</v>
      </c>
      <c r="Y307">
        <v>1</v>
      </c>
      <c r="AA307" s="13">
        <f t="shared" si="21"/>
        <v>52300</v>
      </c>
      <c r="AE307" s="43"/>
      <c r="AL307" s="87" t="s">
        <v>819</v>
      </c>
      <c r="AM307" s="86">
        <v>1890493</v>
      </c>
    </row>
    <row r="308" spans="13:39" hidden="1">
      <c r="M308" s="131">
        <v>52550</v>
      </c>
      <c r="N308" s="223">
        <v>514458</v>
      </c>
      <c r="O308" s="132" t="s">
        <v>244</v>
      </c>
      <c r="P308" s="132" t="s">
        <v>245</v>
      </c>
      <c r="Q308" s="133">
        <v>1510</v>
      </c>
      <c r="R308" s="132" t="s">
        <v>279</v>
      </c>
      <c r="S308" s="132" t="s">
        <v>11</v>
      </c>
      <c r="T308" s="134">
        <v>42548</v>
      </c>
      <c r="U308" s="172">
        <f t="shared" si="22"/>
        <v>2016</v>
      </c>
      <c r="V308" s="172">
        <f t="shared" si="23"/>
        <v>6</v>
      </c>
      <c r="W308" s="44" t="s">
        <v>280</v>
      </c>
      <c r="X308" t="s">
        <v>892</v>
      </c>
      <c r="Y308">
        <v>1</v>
      </c>
      <c r="AA308" s="13">
        <f t="shared" si="21"/>
        <v>52550</v>
      </c>
      <c r="AE308" s="43"/>
      <c r="AL308" s="87" t="s">
        <v>819</v>
      </c>
      <c r="AM308" s="86">
        <v>19009384</v>
      </c>
    </row>
    <row r="309" spans="13:39" hidden="1">
      <c r="M309" s="131">
        <v>52600</v>
      </c>
      <c r="N309" s="223">
        <v>510679</v>
      </c>
      <c r="O309" s="132" t="s">
        <v>244</v>
      </c>
      <c r="P309" s="132" t="s">
        <v>245</v>
      </c>
      <c r="Q309" s="133">
        <v>354</v>
      </c>
      <c r="R309" s="132" t="s">
        <v>279</v>
      </c>
      <c r="S309" s="132" t="s">
        <v>11</v>
      </c>
      <c r="T309" s="134">
        <v>42246</v>
      </c>
      <c r="U309" s="172">
        <f t="shared" si="22"/>
        <v>2015</v>
      </c>
      <c r="V309" s="172">
        <f t="shared" si="23"/>
        <v>8</v>
      </c>
      <c r="W309" s="44" t="s">
        <v>291</v>
      </c>
      <c r="X309" t="s">
        <v>892</v>
      </c>
      <c r="Y309">
        <v>1</v>
      </c>
      <c r="AA309" s="13">
        <f t="shared" si="21"/>
        <v>52600</v>
      </c>
      <c r="AE309" s="43"/>
      <c r="AL309" s="87" t="s">
        <v>819</v>
      </c>
      <c r="AM309" s="86">
        <v>19069714</v>
      </c>
    </row>
    <row r="310" spans="13:39" hidden="1">
      <c r="M310" s="131">
        <v>52718</v>
      </c>
      <c r="N310" s="223">
        <v>457672</v>
      </c>
      <c r="O310" s="132" t="s">
        <v>244</v>
      </c>
      <c r="P310" s="132" t="s">
        <v>245</v>
      </c>
      <c r="Q310" s="133">
        <v>1400</v>
      </c>
      <c r="R310" s="132" t="s">
        <v>279</v>
      </c>
      <c r="S310" s="132" t="s">
        <v>11</v>
      </c>
      <c r="T310" s="134">
        <v>42548</v>
      </c>
      <c r="U310" s="172">
        <f t="shared" si="22"/>
        <v>2016</v>
      </c>
      <c r="V310" s="172">
        <f t="shared" si="23"/>
        <v>6</v>
      </c>
      <c r="W310" s="44" t="s">
        <v>280</v>
      </c>
      <c r="X310" t="s">
        <v>892</v>
      </c>
      <c r="Y310">
        <v>1</v>
      </c>
      <c r="AA310" s="13">
        <f t="shared" si="21"/>
        <v>52718</v>
      </c>
      <c r="AE310" s="43"/>
      <c r="AL310" s="87" t="s">
        <v>819</v>
      </c>
      <c r="AM310" s="86">
        <v>19307403</v>
      </c>
    </row>
    <row r="311" spans="13:39" hidden="1">
      <c r="M311" s="131">
        <v>52900</v>
      </c>
      <c r="N311" s="223">
        <v>569435</v>
      </c>
      <c r="O311" s="132" t="s">
        <v>244</v>
      </c>
      <c r="P311" s="132" t="s">
        <v>245</v>
      </c>
      <c r="Q311" s="133">
        <v>1299</v>
      </c>
      <c r="R311" s="132" t="s">
        <v>279</v>
      </c>
      <c r="S311" s="132" t="s">
        <v>11</v>
      </c>
      <c r="T311" s="134">
        <v>42548</v>
      </c>
      <c r="U311" s="172">
        <f t="shared" si="22"/>
        <v>2016</v>
      </c>
      <c r="V311" s="172">
        <f t="shared" si="23"/>
        <v>6</v>
      </c>
      <c r="W311" s="44" t="s">
        <v>280</v>
      </c>
      <c r="X311" t="s">
        <v>892</v>
      </c>
      <c r="Y311">
        <v>1</v>
      </c>
      <c r="AA311" s="13">
        <f t="shared" si="21"/>
        <v>52900</v>
      </c>
      <c r="AE311" s="43"/>
      <c r="AL311" s="87" t="s">
        <v>819</v>
      </c>
      <c r="AM311" s="86">
        <v>19321211</v>
      </c>
    </row>
    <row r="312" spans="13:39" hidden="1">
      <c r="M312" s="131">
        <v>53000</v>
      </c>
      <c r="N312" s="223">
        <v>568866</v>
      </c>
      <c r="O312" s="132" t="s">
        <v>244</v>
      </c>
      <c r="P312" s="132" t="s">
        <v>245</v>
      </c>
      <c r="Q312" s="133">
        <v>1306</v>
      </c>
      <c r="R312" s="132" t="s">
        <v>279</v>
      </c>
      <c r="S312" s="132" t="s">
        <v>11</v>
      </c>
      <c r="T312" s="134">
        <v>42548</v>
      </c>
      <c r="U312" s="172">
        <f t="shared" si="22"/>
        <v>2016</v>
      </c>
      <c r="V312" s="172">
        <f t="shared" si="23"/>
        <v>6</v>
      </c>
      <c r="W312" s="44" t="s">
        <v>280</v>
      </c>
      <c r="X312" t="s">
        <v>892</v>
      </c>
      <c r="Y312">
        <v>1</v>
      </c>
      <c r="AA312" s="13">
        <f t="shared" si="21"/>
        <v>53000</v>
      </c>
      <c r="AE312" s="43"/>
      <c r="AL312" s="87" t="s">
        <v>819</v>
      </c>
      <c r="AM312" s="86">
        <v>19407615</v>
      </c>
    </row>
    <row r="313" spans="13:39" hidden="1">
      <c r="M313" s="131">
        <v>53018</v>
      </c>
      <c r="N313" s="223">
        <v>536670</v>
      </c>
      <c r="O313" s="132" t="s">
        <v>244</v>
      </c>
      <c r="P313" s="132" t="s">
        <v>245</v>
      </c>
      <c r="Q313" s="133">
        <v>1455</v>
      </c>
      <c r="R313" s="132" t="s">
        <v>279</v>
      </c>
      <c r="S313" s="132" t="s">
        <v>11</v>
      </c>
      <c r="T313" s="134">
        <v>42548</v>
      </c>
      <c r="U313" s="172">
        <f t="shared" si="22"/>
        <v>2016</v>
      </c>
      <c r="V313" s="172">
        <f t="shared" si="23"/>
        <v>6</v>
      </c>
      <c r="W313" s="44" t="s">
        <v>280</v>
      </c>
      <c r="X313" t="s">
        <v>892</v>
      </c>
      <c r="Y313">
        <v>1</v>
      </c>
      <c r="AA313" s="13">
        <f t="shared" si="21"/>
        <v>53018</v>
      </c>
      <c r="AE313" s="43"/>
      <c r="AL313" s="87" t="s">
        <v>819</v>
      </c>
      <c r="AM313" s="86">
        <v>19728306</v>
      </c>
    </row>
    <row r="314" spans="13:39" hidden="1">
      <c r="M314" s="131">
        <v>53100</v>
      </c>
      <c r="N314" s="223">
        <v>565147</v>
      </c>
      <c r="O314" s="132" t="s">
        <v>244</v>
      </c>
      <c r="P314" s="132" t="s">
        <v>245</v>
      </c>
      <c r="Q314" s="133">
        <v>1493</v>
      </c>
      <c r="R314" s="132" t="s">
        <v>279</v>
      </c>
      <c r="S314" s="132" t="s">
        <v>11</v>
      </c>
      <c r="T314" s="134">
        <v>42548</v>
      </c>
      <c r="U314" s="172">
        <f t="shared" si="22"/>
        <v>2016</v>
      </c>
      <c r="V314" s="172">
        <f t="shared" si="23"/>
        <v>6</v>
      </c>
      <c r="W314" s="44" t="s">
        <v>280</v>
      </c>
      <c r="X314" t="s">
        <v>892</v>
      </c>
      <c r="Y314">
        <v>1</v>
      </c>
      <c r="AA314" s="13">
        <f t="shared" si="21"/>
        <v>53100</v>
      </c>
      <c r="AE314" s="43"/>
      <c r="AL314" s="87" t="s">
        <v>819</v>
      </c>
      <c r="AM314" s="86">
        <v>19861097</v>
      </c>
    </row>
    <row r="315" spans="13:39" hidden="1">
      <c r="M315" s="131">
        <v>53385</v>
      </c>
      <c r="N315" s="223">
        <v>489864</v>
      </c>
      <c r="O315" s="132" t="s">
        <v>244</v>
      </c>
      <c r="P315" s="132" t="s">
        <v>245</v>
      </c>
      <c r="Q315" s="133">
        <v>307</v>
      </c>
      <c r="R315" s="132" t="s">
        <v>279</v>
      </c>
      <c r="S315" s="132" t="s">
        <v>11</v>
      </c>
      <c r="T315" s="134">
        <v>42246</v>
      </c>
      <c r="U315" s="172">
        <f t="shared" si="22"/>
        <v>2015</v>
      </c>
      <c r="V315" s="172">
        <f t="shared" si="23"/>
        <v>8</v>
      </c>
      <c r="W315" s="44" t="s">
        <v>291</v>
      </c>
      <c r="X315" t="s">
        <v>892</v>
      </c>
      <c r="Y315">
        <v>1</v>
      </c>
      <c r="AA315" s="13">
        <f t="shared" si="21"/>
        <v>53385</v>
      </c>
      <c r="AE315" s="43"/>
      <c r="AL315" s="87" t="s">
        <v>819</v>
      </c>
      <c r="AM315" s="86">
        <v>19933589</v>
      </c>
    </row>
    <row r="316" spans="13:39" hidden="1">
      <c r="M316" s="131">
        <v>53450</v>
      </c>
      <c r="N316" s="223">
        <v>553187</v>
      </c>
      <c r="O316" s="132" t="s">
        <v>244</v>
      </c>
      <c r="P316" s="132" t="s">
        <v>245</v>
      </c>
      <c r="Q316" s="133">
        <v>1292</v>
      </c>
      <c r="R316" s="132" t="s">
        <v>279</v>
      </c>
      <c r="S316" s="132" t="s">
        <v>11</v>
      </c>
      <c r="T316" s="134">
        <v>42548</v>
      </c>
      <c r="U316" s="172">
        <f t="shared" si="22"/>
        <v>2016</v>
      </c>
      <c r="V316" s="172">
        <f t="shared" si="23"/>
        <v>6</v>
      </c>
      <c r="W316" s="44" t="s">
        <v>280</v>
      </c>
      <c r="X316" t="s">
        <v>892</v>
      </c>
      <c r="Y316">
        <v>1</v>
      </c>
      <c r="AA316" s="13">
        <f t="shared" si="21"/>
        <v>53450</v>
      </c>
      <c r="AE316" s="43"/>
      <c r="AL316" s="87" t="s">
        <v>819</v>
      </c>
      <c r="AM316" s="86">
        <v>20008911</v>
      </c>
    </row>
    <row r="317" spans="13:39" hidden="1">
      <c r="M317" s="131">
        <v>54000</v>
      </c>
      <c r="N317" s="223">
        <v>489368</v>
      </c>
      <c r="O317" s="132" t="s">
        <v>244</v>
      </c>
      <c r="P317" s="132" t="s">
        <v>245</v>
      </c>
      <c r="Q317" s="133">
        <v>276</v>
      </c>
      <c r="R317" s="132" t="s">
        <v>279</v>
      </c>
      <c r="S317" s="132" t="s">
        <v>11</v>
      </c>
      <c r="T317" s="134">
        <v>42246</v>
      </c>
      <c r="U317" s="172">
        <f t="shared" si="22"/>
        <v>2015</v>
      </c>
      <c r="V317" s="172">
        <f t="shared" si="23"/>
        <v>8</v>
      </c>
      <c r="W317" s="44" t="s">
        <v>291</v>
      </c>
      <c r="X317" t="s">
        <v>892</v>
      </c>
      <c r="Y317">
        <v>1</v>
      </c>
      <c r="AA317" s="13">
        <f t="shared" si="21"/>
        <v>54000</v>
      </c>
      <c r="AE317" s="43"/>
      <c r="AL317" s="87" t="s">
        <v>819</v>
      </c>
      <c r="AM317" s="86">
        <v>20090056</v>
      </c>
    </row>
    <row r="318" spans="13:39" hidden="1">
      <c r="M318" s="131">
        <v>54200</v>
      </c>
      <c r="N318" s="223">
        <v>468492</v>
      </c>
      <c r="O318" s="132" t="s">
        <v>244</v>
      </c>
      <c r="P318" s="132" t="s">
        <v>245</v>
      </c>
      <c r="Q318" s="133">
        <v>1138</v>
      </c>
      <c r="R318" s="132" t="s">
        <v>279</v>
      </c>
      <c r="S318" s="132" t="s">
        <v>11</v>
      </c>
      <c r="T318" s="134">
        <v>42548</v>
      </c>
      <c r="U318" s="172">
        <f t="shared" si="22"/>
        <v>2016</v>
      </c>
      <c r="V318" s="172">
        <f t="shared" si="23"/>
        <v>6</v>
      </c>
      <c r="W318" s="44" t="s">
        <v>280</v>
      </c>
      <c r="X318" t="s">
        <v>892</v>
      </c>
      <c r="Y318">
        <v>1</v>
      </c>
      <c r="AA318" s="13">
        <f t="shared" si="21"/>
        <v>54200</v>
      </c>
      <c r="AE318" s="43"/>
      <c r="AL318" s="87" t="s">
        <v>819</v>
      </c>
      <c r="AM318" s="86">
        <v>20221331</v>
      </c>
    </row>
    <row r="319" spans="13:39" hidden="1">
      <c r="M319" s="131">
        <v>54855</v>
      </c>
      <c r="N319" s="223">
        <v>553755</v>
      </c>
      <c r="O319" s="132" t="s">
        <v>244</v>
      </c>
      <c r="P319" s="132" t="s">
        <v>245</v>
      </c>
      <c r="Q319" s="133">
        <v>1281</v>
      </c>
      <c r="R319" s="132" t="s">
        <v>279</v>
      </c>
      <c r="S319" s="132" t="s">
        <v>11</v>
      </c>
      <c r="T319" s="134">
        <v>42548</v>
      </c>
      <c r="U319" s="172">
        <f t="shared" si="22"/>
        <v>2016</v>
      </c>
      <c r="V319" s="172">
        <f t="shared" si="23"/>
        <v>6</v>
      </c>
      <c r="W319" s="44" t="s">
        <v>280</v>
      </c>
      <c r="X319" t="s">
        <v>892</v>
      </c>
      <c r="Y319">
        <v>1</v>
      </c>
      <c r="AA319" s="13">
        <f t="shared" si="21"/>
        <v>54855</v>
      </c>
      <c r="AE319" s="43"/>
      <c r="AL319" s="87" t="s">
        <v>819</v>
      </c>
      <c r="AM319" s="86">
        <v>2088379</v>
      </c>
    </row>
    <row r="320" spans="13:39" hidden="1">
      <c r="M320" s="131">
        <v>54959</v>
      </c>
      <c r="N320" s="223">
        <v>544074</v>
      </c>
      <c r="O320" s="132" t="s">
        <v>244</v>
      </c>
      <c r="P320" s="132" t="s">
        <v>245</v>
      </c>
      <c r="Q320" s="133">
        <v>1241</v>
      </c>
      <c r="R320" s="132" t="s">
        <v>279</v>
      </c>
      <c r="S320" s="132" t="s">
        <v>11</v>
      </c>
      <c r="T320" s="134">
        <v>42548</v>
      </c>
      <c r="U320" s="172">
        <f t="shared" si="22"/>
        <v>2016</v>
      </c>
      <c r="V320" s="172">
        <f t="shared" si="23"/>
        <v>6</v>
      </c>
      <c r="W320" s="44" t="s">
        <v>280</v>
      </c>
      <c r="X320" t="s">
        <v>892</v>
      </c>
      <c r="Y320">
        <v>1</v>
      </c>
      <c r="AA320" s="13">
        <f t="shared" si="21"/>
        <v>54959</v>
      </c>
      <c r="AE320" s="43"/>
      <c r="AL320" s="87" t="s">
        <v>819</v>
      </c>
      <c r="AM320" s="86">
        <v>2114293</v>
      </c>
    </row>
    <row r="321" spans="13:39" hidden="1">
      <c r="M321" s="131">
        <v>55000</v>
      </c>
      <c r="N321" s="223">
        <v>485899</v>
      </c>
      <c r="O321" s="132" t="s">
        <v>244</v>
      </c>
      <c r="P321" s="132" t="s">
        <v>245</v>
      </c>
      <c r="Q321" s="133">
        <v>483</v>
      </c>
      <c r="R321" s="132" t="s">
        <v>279</v>
      </c>
      <c r="S321" s="132" t="s">
        <v>11</v>
      </c>
      <c r="T321" s="134">
        <v>42246</v>
      </c>
      <c r="U321" s="172">
        <f t="shared" si="22"/>
        <v>2015</v>
      </c>
      <c r="V321" s="172">
        <f t="shared" si="23"/>
        <v>8</v>
      </c>
      <c r="W321" s="44" t="s">
        <v>291</v>
      </c>
      <c r="X321" t="s">
        <v>892</v>
      </c>
      <c r="Y321">
        <v>1</v>
      </c>
      <c r="AA321" s="13">
        <f t="shared" si="21"/>
        <v>55000</v>
      </c>
      <c r="AE321" s="43"/>
      <c r="AL321" s="87" t="s">
        <v>819</v>
      </c>
      <c r="AM321" s="86">
        <v>21199873</v>
      </c>
    </row>
    <row r="322" spans="13:39" hidden="1">
      <c r="M322" s="131">
        <v>55000</v>
      </c>
      <c r="N322" s="223">
        <v>488377</v>
      </c>
      <c r="O322" s="132" t="s">
        <v>244</v>
      </c>
      <c r="P322" s="132" t="s">
        <v>245</v>
      </c>
      <c r="Q322" s="133">
        <v>222</v>
      </c>
      <c r="R322" s="132" t="s">
        <v>279</v>
      </c>
      <c r="S322" s="132" t="s">
        <v>11</v>
      </c>
      <c r="T322" s="134">
        <v>42246</v>
      </c>
      <c r="U322" s="172">
        <f t="shared" si="22"/>
        <v>2015</v>
      </c>
      <c r="V322" s="172">
        <f t="shared" si="23"/>
        <v>8</v>
      </c>
      <c r="W322" s="44" t="s">
        <v>291</v>
      </c>
      <c r="X322" t="s">
        <v>892</v>
      </c>
      <c r="Y322">
        <v>1</v>
      </c>
      <c r="AA322" s="13">
        <f t="shared" si="21"/>
        <v>55000</v>
      </c>
      <c r="AE322" s="43"/>
      <c r="AL322" s="87" t="s">
        <v>819</v>
      </c>
      <c r="AM322" s="86">
        <v>212211</v>
      </c>
    </row>
    <row r="323" spans="13:39" hidden="1">
      <c r="M323" s="131">
        <v>55000</v>
      </c>
      <c r="N323" s="223">
        <v>510679</v>
      </c>
      <c r="O323" s="132" t="s">
        <v>244</v>
      </c>
      <c r="P323" s="132" t="s">
        <v>245</v>
      </c>
      <c r="Q323" s="133">
        <v>293</v>
      </c>
      <c r="R323" s="132" t="s">
        <v>279</v>
      </c>
      <c r="S323" s="132" t="s">
        <v>11</v>
      </c>
      <c r="T323" s="134">
        <v>42246</v>
      </c>
      <c r="U323" s="172">
        <f t="shared" si="22"/>
        <v>2015</v>
      </c>
      <c r="V323" s="172">
        <f t="shared" si="23"/>
        <v>8</v>
      </c>
      <c r="W323" s="44" t="s">
        <v>291</v>
      </c>
      <c r="X323" t="s">
        <v>892</v>
      </c>
      <c r="Y323">
        <v>1</v>
      </c>
      <c r="AA323" s="13">
        <f t="shared" si="21"/>
        <v>55000</v>
      </c>
      <c r="AE323" s="43"/>
      <c r="AL323" s="87" t="s">
        <v>819</v>
      </c>
      <c r="AM323" s="86">
        <v>21260646</v>
      </c>
    </row>
    <row r="324" spans="13:39" hidden="1">
      <c r="M324" s="131">
        <v>55000</v>
      </c>
      <c r="N324" s="223">
        <v>563437</v>
      </c>
      <c r="O324" s="132" t="s">
        <v>244</v>
      </c>
      <c r="P324" s="132" t="s">
        <v>245</v>
      </c>
      <c r="Q324" s="133">
        <v>1063</v>
      </c>
      <c r="R324" s="132" t="s">
        <v>279</v>
      </c>
      <c r="S324" s="132" t="s">
        <v>11</v>
      </c>
      <c r="T324" s="134">
        <v>42548</v>
      </c>
      <c r="U324" s="172">
        <f t="shared" si="22"/>
        <v>2016</v>
      </c>
      <c r="V324" s="172">
        <f t="shared" si="23"/>
        <v>6</v>
      </c>
      <c r="W324" s="44" t="s">
        <v>280</v>
      </c>
      <c r="X324" t="s">
        <v>892</v>
      </c>
      <c r="Y324">
        <v>1</v>
      </c>
      <c r="AA324" s="13">
        <f t="shared" ref="AA324:AA387" si="24">IF(M324&lt;30000,Y324*100*M324*(1-$L$1)-$L$2*Y324,M324)</f>
        <v>55000</v>
      </c>
      <c r="AE324" s="43"/>
      <c r="AL324" s="87" t="s">
        <v>819</v>
      </c>
      <c r="AM324" s="86">
        <v>2126576</v>
      </c>
    </row>
    <row r="325" spans="13:39" hidden="1">
      <c r="M325" s="131">
        <v>55000</v>
      </c>
      <c r="N325" s="223">
        <v>643475</v>
      </c>
      <c r="O325" s="132" t="s">
        <v>244</v>
      </c>
      <c r="P325" s="132" t="s">
        <v>245</v>
      </c>
      <c r="Q325" s="133">
        <v>1297</v>
      </c>
      <c r="R325" s="132" t="s">
        <v>279</v>
      </c>
      <c r="S325" s="132" t="s">
        <v>11</v>
      </c>
      <c r="T325" s="134">
        <v>42548</v>
      </c>
      <c r="U325" s="172">
        <f t="shared" si="22"/>
        <v>2016</v>
      </c>
      <c r="V325" s="172">
        <f t="shared" si="23"/>
        <v>6</v>
      </c>
      <c r="W325" s="44" t="s">
        <v>280</v>
      </c>
      <c r="X325" t="s">
        <v>892</v>
      </c>
      <c r="Y325">
        <v>1</v>
      </c>
      <c r="AA325" s="13">
        <f t="shared" si="24"/>
        <v>55000</v>
      </c>
      <c r="AE325" s="43"/>
      <c r="AL325" s="87" t="s">
        <v>819</v>
      </c>
      <c r="AM325" s="86">
        <v>2126576</v>
      </c>
    </row>
    <row r="326" spans="13:39" hidden="1">
      <c r="M326" s="131">
        <v>55077</v>
      </c>
      <c r="N326" s="223">
        <v>491845</v>
      </c>
      <c r="O326" s="132" t="s">
        <v>244</v>
      </c>
      <c r="P326" s="132" t="s">
        <v>245</v>
      </c>
      <c r="Q326" s="133">
        <v>77</v>
      </c>
      <c r="R326" s="132" t="s">
        <v>279</v>
      </c>
      <c r="S326" s="132" t="s">
        <v>11</v>
      </c>
      <c r="T326" s="134">
        <v>42246</v>
      </c>
      <c r="U326" s="172">
        <f t="shared" si="22"/>
        <v>2015</v>
      </c>
      <c r="V326" s="172">
        <f t="shared" si="23"/>
        <v>8</v>
      </c>
      <c r="W326" s="44" t="s">
        <v>291</v>
      </c>
      <c r="X326" t="s">
        <v>892</v>
      </c>
      <c r="Y326">
        <v>1</v>
      </c>
      <c r="AA326" s="13">
        <f t="shared" si="24"/>
        <v>55077</v>
      </c>
      <c r="AE326" s="43"/>
      <c r="AL326" s="87" t="s">
        <v>819</v>
      </c>
      <c r="AM326" s="86">
        <v>2126718</v>
      </c>
    </row>
    <row r="327" spans="13:39" hidden="1">
      <c r="M327" s="131">
        <v>55300</v>
      </c>
      <c r="N327" s="223">
        <v>562299</v>
      </c>
      <c r="O327" s="132" t="s">
        <v>244</v>
      </c>
      <c r="P327" s="132" t="s">
        <v>245</v>
      </c>
      <c r="Q327" s="133">
        <v>1069</v>
      </c>
      <c r="R327" s="132" t="s">
        <v>279</v>
      </c>
      <c r="S327" s="132" t="s">
        <v>11</v>
      </c>
      <c r="T327" s="134">
        <v>42548</v>
      </c>
      <c r="U327" s="172">
        <f t="shared" ref="U327:U390" si="25">YEAR($T327)</f>
        <v>2016</v>
      </c>
      <c r="V327" s="172">
        <f t="shared" ref="V327:V390" si="26">MONTH($T327)</f>
        <v>6</v>
      </c>
      <c r="W327" s="44" t="s">
        <v>280</v>
      </c>
      <c r="X327" t="s">
        <v>892</v>
      </c>
      <c r="Y327">
        <v>1</v>
      </c>
      <c r="AA327" s="13">
        <f t="shared" si="24"/>
        <v>55300</v>
      </c>
      <c r="AE327" s="43"/>
      <c r="AL327" s="87" t="s">
        <v>819</v>
      </c>
      <c r="AM327" s="86">
        <v>21429730</v>
      </c>
    </row>
    <row r="328" spans="13:39" hidden="1">
      <c r="M328" s="131">
        <v>55459</v>
      </c>
      <c r="N328" s="223">
        <v>468492</v>
      </c>
      <c r="O328" s="132" t="s">
        <v>244</v>
      </c>
      <c r="P328" s="132" t="s">
        <v>245</v>
      </c>
      <c r="Q328" s="133">
        <v>1389</v>
      </c>
      <c r="R328" s="132" t="s">
        <v>279</v>
      </c>
      <c r="S328" s="132" t="s">
        <v>11</v>
      </c>
      <c r="T328" s="134">
        <v>42548</v>
      </c>
      <c r="U328" s="172">
        <f t="shared" si="25"/>
        <v>2016</v>
      </c>
      <c r="V328" s="172">
        <f t="shared" si="26"/>
        <v>6</v>
      </c>
      <c r="W328" s="44" t="s">
        <v>280</v>
      </c>
      <c r="X328" t="s">
        <v>892</v>
      </c>
      <c r="Y328">
        <v>1</v>
      </c>
      <c r="AA328" s="13">
        <f t="shared" si="24"/>
        <v>55459</v>
      </c>
      <c r="AE328" s="43"/>
      <c r="AL328" s="87" t="s">
        <v>819</v>
      </c>
      <c r="AM328" s="86">
        <v>21529921</v>
      </c>
    </row>
    <row r="329" spans="13:39" hidden="1">
      <c r="M329" s="131">
        <v>55550</v>
      </c>
      <c r="N329" s="223">
        <v>485899</v>
      </c>
      <c r="O329" s="132" t="s">
        <v>244</v>
      </c>
      <c r="P329" s="132" t="s">
        <v>245</v>
      </c>
      <c r="Q329" s="133">
        <v>70</v>
      </c>
      <c r="R329" s="132" t="s">
        <v>279</v>
      </c>
      <c r="S329" s="132" t="s">
        <v>11</v>
      </c>
      <c r="T329" s="134">
        <v>42246</v>
      </c>
      <c r="U329" s="172">
        <f t="shared" si="25"/>
        <v>2015</v>
      </c>
      <c r="V329" s="172">
        <f t="shared" si="26"/>
        <v>8</v>
      </c>
      <c r="W329" s="44" t="s">
        <v>291</v>
      </c>
      <c r="X329" t="s">
        <v>892</v>
      </c>
      <c r="Y329">
        <v>1</v>
      </c>
      <c r="AA329" s="13">
        <f t="shared" si="24"/>
        <v>55550</v>
      </c>
      <c r="AE329" s="43"/>
      <c r="AL329" s="87" t="s">
        <v>819</v>
      </c>
      <c r="AM329" s="86">
        <v>21537486</v>
      </c>
    </row>
    <row r="330" spans="13:39" hidden="1">
      <c r="M330" s="131">
        <v>55555</v>
      </c>
      <c r="N330" s="223">
        <v>489864</v>
      </c>
      <c r="O330" s="132" t="s">
        <v>244</v>
      </c>
      <c r="P330" s="132" t="s">
        <v>245</v>
      </c>
      <c r="Q330" s="133">
        <v>365</v>
      </c>
      <c r="R330" s="132" t="s">
        <v>279</v>
      </c>
      <c r="S330" s="132" t="s">
        <v>11</v>
      </c>
      <c r="T330" s="134">
        <v>42246</v>
      </c>
      <c r="U330" s="172">
        <f t="shared" si="25"/>
        <v>2015</v>
      </c>
      <c r="V330" s="172">
        <f t="shared" si="26"/>
        <v>8</v>
      </c>
      <c r="W330" s="44" t="s">
        <v>291</v>
      </c>
      <c r="X330" t="s">
        <v>892</v>
      </c>
      <c r="Y330">
        <v>1</v>
      </c>
      <c r="AA330" s="13">
        <f t="shared" si="24"/>
        <v>55555</v>
      </c>
      <c r="AE330" s="43"/>
      <c r="AL330" s="87" t="s">
        <v>819</v>
      </c>
      <c r="AM330" s="86">
        <v>21552604</v>
      </c>
    </row>
    <row r="331" spans="13:39" hidden="1">
      <c r="M331" s="131">
        <v>55555</v>
      </c>
      <c r="N331" s="223">
        <v>490854</v>
      </c>
      <c r="O331" s="132" t="s">
        <v>244</v>
      </c>
      <c r="P331" s="132" t="s">
        <v>245</v>
      </c>
      <c r="Q331" s="133">
        <v>527</v>
      </c>
      <c r="R331" s="132" t="s">
        <v>279</v>
      </c>
      <c r="S331" s="132" t="s">
        <v>11</v>
      </c>
      <c r="T331" s="134">
        <v>42246</v>
      </c>
      <c r="U331" s="172">
        <f t="shared" si="25"/>
        <v>2015</v>
      </c>
      <c r="V331" s="172">
        <f t="shared" si="26"/>
        <v>8</v>
      </c>
      <c r="W331" s="44" t="s">
        <v>291</v>
      </c>
      <c r="X331" t="s">
        <v>892</v>
      </c>
      <c r="Y331">
        <v>1</v>
      </c>
      <c r="AA331" s="13">
        <f t="shared" si="24"/>
        <v>55555</v>
      </c>
      <c r="AE331" s="43"/>
      <c r="AL331" s="87" t="s">
        <v>819</v>
      </c>
      <c r="AM331" s="86">
        <v>21571364</v>
      </c>
    </row>
    <row r="332" spans="13:39" hidden="1">
      <c r="M332" s="131">
        <v>55555</v>
      </c>
      <c r="N332" s="223">
        <v>556603</v>
      </c>
      <c r="O332" s="132" t="s">
        <v>244</v>
      </c>
      <c r="P332" s="132" t="s">
        <v>245</v>
      </c>
      <c r="Q332" s="133">
        <v>73</v>
      </c>
      <c r="R332" s="132" t="s">
        <v>279</v>
      </c>
      <c r="S332" s="132" t="s">
        <v>11</v>
      </c>
      <c r="T332" s="134">
        <v>42548</v>
      </c>
      <c r="U332" s="172">
        <f t="shared" si="25"/>
        <v>2016</v>
      </c>
      <c r="V332" s="172">
        <f t="shared" si="26"/>
        <v>6</v>
      </c>
      <c r="W332" s="44" t="s">
        <v>280</v>
      </c>
      <c r="X332" t="s">
        <v>892</v>
      </c>
      <c r="Y332">
        <v>1</v>
      </c>
      <c r="AA332" s="13">
        <f t="shared" si="24"/>
        <v>55555</v>
      </c>
      <c r="AE332" s="43"/>
      <c r="AL332" s="87" t="s">
        <v>819</v>
      </c>
      <c r="AM332" s="86">
        <v>21617234</v>
      </c>
    </row>
    <row r="333" spans="13:39" hidden="1">
      <c r="M333" s="131">
        <v>55555</v>
      </c>
      <c r="N333" s="223">
        <v>558313</v>
      </c>
      <c r="O333" s="132" t="s">
        <v>244</v>
      </c>
      <c r="P333" s="132" t="s">
        <v>245</v>
      </c>
      <c r="Q333" s="133">
        <v>1234</v>
      </c>
      <c r="R333" s="132" t="s">
        <v>279</v>
      </c>
      <c r="S333" s="132" t="s">
        <v>11</v>
      </c>
      <c r="T333" s="134">
        <v>42548</v>
      </c>
      <c r="U333" s="172">
        <f t="shared" si="25"/>
        <v>2016</v>
      </c>
      <c r="V333" s="172">
        <f t="shared" si="26"/>
        <v>6</v>
      </c>
      <c r="W333" s="44" t="s">
        <v>280</v>
      </c>
      <c r="X333" t="s">
        <v>892</v>
      </c>
      <c r="Y333">
        <v>1</v>
      </c>
      <c r="AA333" s="13">
        <f t="shared" si="24"/>
        <v>55555</v>
      </c>
      <c r="AE333" s="43"/>
      <c r="AL333" s="87" t="s">
        <v>819</v>
      </c>
      <c r="AM333" s="86">
        <v>21658935</v>
      </c>
    </row>
    <row r="334" spans="13:39" hidden="1">
      <c r="M334" s="131">
        <v>55556</v>
      </c>
      <c r="N334" s="223">
        <v>493828</v>
      </c>
      <c r="O334" s="132" t="s">
        <v>244</v>
      </c>
      <c r="P334" s="132" t="s">
        <v>245</v>
      </c>
      <c r="Q334" s="133">
        <v>372</v>
      </c>
      <c r="R334" s="132" t="s">
        <v>279</v>
      </c>
      <c r="S334" s="132" t="s">
        <v>11</v>
      </c>
      <c r="T334" s="134">
        <v>42246</v>
      </c>
      <c r="U334" s="172">
        <f t="shared" si="25"/>
        <v>2015</v>
      </c>
      <c r="V334" s="172">
        <f t="shared" si="26"/>
        <v>8</v>
      </c>
      <c r="W334" s="44" t="s">
        <v>291</v>
      </c>
      <c r="X334" t="s">
        <v>892</v>
      </c>
      <c r="Y334">
        <v>1</v>
      </c>
      <c r="AA334" s="13">
        <f t="shared" si="24"/>
        <v>55556</v>
      </c>
      <c r="AE334" s="43"/>
      <c r="AL334" s="87" t="s">
        <v>819</v>
      </c>
      <c r="AM334" s="86">
        <v>21674076</v>
      </c>
    </row>
    <row r="335" spans="13:39" hidden="1">
      <c r="M335" s="131">
        <v>55556</v>
      </c>
      <c r="N335" s="223">
        <v>512661</v>
      </c>
      <c r="O335" s="132" t="s">
        <v>244</v>
      </c>
      <c r="P335" s="132" t="s">
        <v>245</v>
      </c>
      <c r="Q335" s="133">
        <v>502</v>
      </c>
      <c r="R335" s="132" t="s">
        <v>279</v>
      </c>
      <c r="S335" s="132" t="s">
        <v>11</v>
      </c>
      <c r="T335" s="134">
        <v>42246</v>
      </c>
      <c r="U335" s="172">
        <f t="shared" si="25"/>
        <v>2015</v>
      </c>
      <c r="V335" s="172">
        <f t="shared" si="26"/>
        <v>8</v>
      </c>
      <c r="W335" s="44" t="s">
        <v>291</v>
      </c>
      <c r="X335" t="s">
        <v>892</v>
      </c>
      <c r="Y335">
        <v>1</v>
      </c>
      <c r="AA335" s="13">
        <f t="shared" si="24"/>
        <v>55556</v>
      </c>
      <c r="AE335" s="43"/>
      <c r="AL335" s="87" t="s">
        <v>819</v>
      </c>
      <c r="AM335" s="86">
        <v>21785029</v>
      </c>
    </row>
    <row r="336" spans="13:39" hidden="1">
      <c r="M336" s="131">
        <v>55556</v>
      </c>
      <c r="N336" s="223">
        <v>602734</v>
      </c>
      <c r="O336" s="132" t="s">
        <v>244</v>
      </c>
      <c r="P336" s="132" t="s">
        <v>245</v>
      </c>
      <c r="Q336" s="133">
        <v>1417</v>
      </c>
      <c r="R336" s="132" t="s">
        <v>279</v>
      </c>
      <c r="S336" s="132" t="s">
        <v>11</v>
      </c>
      <c r="T336" s="134">
        <v>42548</v>
      </c>
      <c r="U336" s="172">
        <f t="shared" si="25"/>
        <v>2016</v>
      </c>
      <c r="V336" s="172">
        <f t="shared" si="26"/>
        <v>6</v>
      </c>
      <c r="W336" s="44" t="s">
        <v>280</v>
      </c>
      <c r="X336" t="s">
        <v>892</v>
      </c>
      <c r="Y336">
        <v>1</v>
      </c>
      <c r="AA336" s="13">
        <f t="shared" si="24"/>
        <v>55556</v>
      </c>
      <c r="AE336" s="43"/>
      <c r="AL336" s="87" t="s">
        <v>819</v>
      </c>
      <c r="AM336" s="86">
        <v>2187603</v>
      </c>
    </row>
    <row r="337" spans="13:39" hidden="1">
      <c r="M337" s="131">
        <v>55700</v>
      </c>
      <c r="N337" s="223">
        <v>514458</v>
      </c>
      <c r="O337" s="132" t="s">
        <v>244</v>
      </c>
      <c r="P337" s="132" t="s">
        <v>245</v>
      </c>
      <c r="Q337" s="133">
        <v>1442</v>
      </c>
      <c r="R337" s="132" t="s">
        <v>279</v>
      </c>
      <c r="S337" s="132" t="s">
        <v>11</v>
      </c>
      <c r="T337" s="134">
        <v>42548</v>
      </c>
      <c r="U337" s="172">
        <f t="shared" si="25"/>
        <v>2016</v>
      </c>
      <c r="V337" s="172">
        <f t="shared" si="26"/>
        <v>6</v>
      </c>
      <c r="W337" s="44" t="s">
        <v>280</v>
      </c>
      <c r="X337" t="s">
        <v>892</v>
      </c>
      <c r="Y337">
        <v>1</v>
      </c>
      <c r="AA337" s="13">
        <f t="shared" si="24"/>
        <v>55700</v>
      </c>
      <c r="AE337" s="43"/>
      <c r="AL337" s="87" t="s">
        <v>819</v>
      </c>
      <c r="AM337" s="86">
        <v>22050726</v>
      </c>
    </row>
    <row r="338" spans="13:39" hidden="1">
      <c r="M338" s="131">
        <v>56010</v>
      </c>
      <c r="N338" s="223">
        <v>564576</v>
      </c>
      <c r="O338" s="132" t="s">
        <v>244</v>
      </c>
      <c r="P338" s="132" t="s">
        <v>245</v>
      </c>
      <c r="Q338" s="133">
        <v>1064</v>
      </c>
      <c r="R338" s="132" t="s">
        <v>279</v>
      </c>
      <c r="S338" s="132" t="s">
        <v>11</v>
      </c>
      <c r="T338" s="134">
        <v>42548</v>
      </c>
      <c r="U338" s="172">
        <f t="shared" si="25"/>
        <v>2016</v>
      </c>
      <c r="V338" s="172">
        <f t="shared" si="26"/>
        <v>6</v>
      </c>
      <c r="W338" s="44" t="s">
        <v>280</v>
      </c>
      <c r="X338" t="s">
        <v>892</v>
      </c>
      <c r="Y338">
        <v>1</v>
      </c>
      <c r="AA338" s="13">
        <f t="shared" si="24"/>
        <v>56010</v>
      </c>
      <c r="AE338" s="43"/>
      <c r="AL338" s="87" t="s">
        <v>819</v>
      </c>
      <c r="AM338" s="86">
        <v>22852332</v>
      </c>
    </row>
    <row r="339" spans="13:39" hidden="1">
      <c r="M339" s="131">
        <v>56100</v>
      </c>
      <c r="N339" s="223">
        <v>492342</v>
      </c>
      <c r="O339" s="132" t="s">
        <v>244</v>
      </c>
      <c r="P339" s="132" t="s">
        <v>245</v>
      </c>
      <c r="Q339" s="133">
        <v>220</v>
      </c>
      <c r="R339" s="132" t="s">
        <v>279</v>
      </c>
      <c r="S339" s="132" t="s">
        <v>11</v>
      </c>
      <c r="T339" s="134">
        <v>42246</v>
      </c>
      <c r="U339" s="172">
        <f t="shared" si="25"/>
        <v>2015</v>
      </c>
      <c r="V339" s="172">
        <f t="shared" si="26"/>
        <v>8</v>
      </c>
      <c r="W339" s="44" t="s">
        <v>291</v>
      </c>
      <c r="X339" t="s">
        <v>892</v>
      </c>
      <c r="Y339">
        <v>1</v>
      </c>
      <c r="AA339" s="13">
        <f t="shared" si="24"/>
        <v>56100</v>
      </c>
      <c r="AE339" s="43"/>
      <c r="AL339" s="87" t="s">
        <v>819</v>
      </c>
      <c r="AM339" s="86">
        <v>22961203</v>
      </c>
    </row>
    <row r="340" spans="13:39" hidden="1">
      <c r="M340" s="131">
        <v>56162</v>
      </c>
      <c r="N340" s="223">
        <v>514458</v>
      </c>
      <c r="O340" s="132" t="s">
        <v>244</v>
      </c>
      <c r="P340" s="132" t="s">
        <v>245</v>
      </c>
      <c r="Q340" s="133">
        <v>1263</v>
      </c>
      <c r="R340" s="132" t="s">
        <v>279</v>
      </c>
      <c r="S340" s="132" t="s">
        <v>11</v>
      </c>
      <c r="T340" s="134">
        <v>42548</v>
      </c>
      <c r="U340" s="172">
        <f t="shared" si="25"/>
        <v>2016</v>
      </c>
      <c r="V340" s="172">
        <f t="shared" si="26"/>
        <v>6</v>
      </c>
      <c r="W340" s="44" t="s">
        <v>280</v>
      </c>
      <c r="X340" t="s">
        <v>892</v>
      </c>
      <c r="Y340">
        <v>1</v>
      </c>
      <c r="AA340" s="13">
        <f t="shared" si="24"/>
        <v>56162</v>
      </c>
      <c r="AE340" s="43"/>
      <c r="AL340" s="87" t="s">
        <v>819</v>
      </c>
      <c r="AM340" s="86">
        <v>23320173</v>
      </c>
    </row>
    <row r="341" spans="13:39" hidden="1">
      <c r="M341" s="131">
        <v>56180</v>
      </c>
      <c r="N341" s="223">
        <v>488377</v>
      </c>
      <c r="O341" s="132" t="s">
        <v>244</v>
      </c>
      <c r="P341" s="132" t="s">
        <v>245</v>
      </c>
      <c r="Q341" s="133">
        <v>356</v>
      </c>
      <c r="R341" s="132" t="s">
        <v>279</v>
      </c>
      <c r="S341" s="132" t="s">
        <v>11</v>
      </c>
      <c r="T341" s="134">
        <v>42246</v>
      </c>
      <c r="U341" s="172">
        <f t="shared" si="25"/>
        <v>2015</v>
      </c>
      <c r="V341" s="172">
        <f t="shared" si="26"/>
        <v>8</v>
      </c>
      <c r="W341" s="44" t="s">
        <v>291</v>
      </c>
      <c r="X341" t="s">
        <v>892</v>
      </c>
      <c r="Y341">
        <v>1</v>
      </c>
      <c r="AA341" s="13">
        <f t="shared" si="24"/>
        <v>56180</v>
      </c>
      <c r="AE341" s="43"/>
      <c r="AL341" s="87" t="s">
        <v>819</v>
      </c>
      <c r="AM341" s="86">
        <v>23460655</v>
      </c>
    </row>
    <row r="342" spans="13:39" hidden="1">
      <c r="M342" s="131">
        <v>56260</v>
      </c>
      <c r="N342" s="223">
        <v>468492</v>
      </c>
      <c r="O342" s="132" t="s">
        <v>244</v>
      </c>
      <c r="P342" s="132" t="s">
        <v>245</v>
      </c>
      <c r="Q342" s="133">
        <v>1157</v>
      </c>
      <c r="R342" s="132" t="s">
        <v>279</v>
      </c>
      <c r="S342" s="132" t="s">
        <v>11</v>
      </c>
      <c r="T342" s="134">
        <v>42548</v>
      </c>
      <c r="U342" s="172">
        <f t="shared" si="25"/>
        <v>2016</v>
      </c>
      <c r="V342" s="172">
        <f t="shared" si="26"/>
        <v>6</v>
      </c>
      <c r="W342" s="44" t="s">
        <v>280</v>
      </c>
      <c r="X342" t="s">
        <v>892</v>
      </c>
      <c r="Y342">
        <v>1</v>
      </c>
      <c r="AA342" s="13">
        <f t="shared" si="24"/>
        <v>56260</v>
      </c>
      <c r="AE342" s="43"/>
      <c r="AL342" s="87" t="s">
        <v>819</v>
      </c>
      <c r="AM342" s="86">
        <v>23519999</v>
      </c>
    </row>
    <row r="343" spans="13:39" hidden="1">
      <c r="M343" s="131">
        <v>56500</v>
      </c>
      <c r="N343" s="223">
        <v>482430</v>
      </c>
      <c r="O343" s="132" t="s">
        <v>244</v>
      </c>
      <c r="P343" s="132" t="s">
        <v>245</v>
      </c>
      <c r="Q343" s="133">
        <v>250</v>
      </c>
      <c r="R343" s="132" t="s">
        <v>279</v>
      </c>
      <c r="S343" s="132" t="s">
        <v>11</v>
      </c>
      <c r="T343" s="134">
        <v>42246</v>
      </c>
      <c r="U343" s="172">
        <f t="shared" si="25"/>
        <v>2015</v>
      </c>
      <c r="V343" s="172">
        <f t="shared" si="26"/>
        <v>8</v>
      </c>
      <c r="W343" s="44" t="s">
        <v>291</v>
      </c>
      <c r="X343" t="s">
        <v>892</v>
      </c>
      <c r="Y343">
        <v>1</v>
      </c>
      <c r="AA343" s="13">
        <f t="shared" si="24"/>
        <v>56500</v>
      </c>
      <c r="AE343" s="43"/>
      <c r="AL343" s="87" t="s">
        <v>819</v>
      </c>
      <c r="AM343" s="86">
        <v>23711186</v>
      </c>
    </row>
    <row r="344" spans="13:39" hidden="1">
      <c r="M344" s="131">
        <v>56500</v>
      </c>
      <c r="N344" s="223">
        <v>569702</v>
      </c>
      <c r="O344" s="132" t="s">
        <v>244</v>
      </c>
      <c r="P344" s="132" t="s">
        <v>245</v>
      </c>
      <c r="Q344" s="133">
        <v>278</v>
      </c>
      <c r="R344" s="132" t="s">
        <v>279</v>
      </c>
      <c r="S344" s="132" t="s">
        <v>11</v>
      </c>
      <c r="T344" s="134">
        <v>42548</v>
      </c>
      <c r="U344" s="172">
        <f t="shared" si="25"/>
        <v>2016</v>
      </c>
      <c r="V344" s="172">
        <f t="shared" si="26"/>
        <v>6</v>
      </c>
      <c r="W344" s="44" t="s">
        <v>280</v>
      </c>
      <c r="X344" t="s">
        <v>892</v>
      </c>
      <c r="Y344">
        <v>1</v>
      </c>
      <c r="AA344" s="13">
        <f t="shared" si="24"/>
        <v>56500</v>
      </c>
      <c r="AE344" s="43"/>
      <c r="AL344" s="87" t="s">
        <v>819</v>
      </c>
      <c r="AM344" s="86">
        <v>23737288</v>
      </c>
    </row>
    <row r="345" spans="13:39" hidden="1">
      <c r="M345" s="131">
        <v>56666</v>
      </c>
      <c r="N345" s="223">
        <v>560021</v>
      </c>
      <c r="O345" s="132" t="s">
        <v>244</v>
      </c>
      <c r="P345" s="132" t="s">
        <v>245</v>
      </c>
      <c r="Q345" s="133">
        <v>1105</v>
      </c>
      <c r="R345" s="132" t="s">
        <v>279</v>
      </c>
      <c r="S345" s="132" t="s">
        <v>11</v>
      </c>
      <c r="T345" s="134">
        <v>42548</v>
      </c>
      <c r="U345" s="172">
        <f t="shared" si="25"/>
        <v>2016</v>
      </c>
      <c r="V345" s="172">
        <f t="shared" si="26"/>
        <v>6</v>
      </c>
      <c r="W345" s="44" t="s">
        <v>280</v>
      </c>
      <c r="X345" t="s">
        <v>892</v>
      </c>
      <c r="Y345">
        <v>1</v>
      </c>
      <c r="AA345" s="13">
        <f t="shared" si="24"/>
        <v>56666</v>
      </c>
      <c r="AE345" s="43"/>
      <c r="AL345" s="87" t="s">
        <v>819</v>
      </c>
      <c r="AM345" s="86">
        <v>24140246</v>
      </c>
    </row>
    <row r="346" spans="13:39" hidden="1">
      <c r="M346" s="131">
        <v>57200</v>
      </c>
      <c r="N346" s="223">
        <v>530818</v>
      </c>
      <c r="O346" s="132" t="s">
        <v>244</v>
      </c>
      <c r="P346" s="132" t="s">
        <v>245</v>
      </c>
      <c r="Q346" s="133">
        <v>656</v>
      </c>
      <c r="R346" s="132" t="s">
        <v>279</v>
      </c>
      <c r="S346" s="132" t="s">
        <v>11</v>
      </c>
      <c r="T346" s="134">
        <v>42246</v>
      </c>
      <c r="U346" s="172">
        <f t="shared" si="25"/>
        <v>2015</v>
      </c>
      <c r="V346" s="172">
        <f t="shared" si="26"/>
        <v>8</v>
      </c>
      <c r="W346" s="44" t="s">
        <v>291</v>
      </c>
      <c r="X346" t="s">
        <v>892</v>
      </c>
      <c r="Y346">
        <v>1</v>
      </c>
      <c r="AA346" s="13">
        <f t="shared" si="24"/>
        <v>57200</v>
      </c>
      <c r="AE346" s="43"/>
      <c r="AL346" s="87" t="s">
        <v>819</v>
      </c>
      <c r="AM346" s="86">
        <v>24412641</v>
      </c>
    </row>
    <row r="347" spans="13:39" hidden="1">
      <c r="M347" s="131">
        <v>57777</v>
      </c>
      <c r="N347" s="223">
        <v>483916</v>
      </c>
      <c r="O347" s="132" t="s">
        <v>244</v>
      </c>
      <c r="P347" s="132" t="s">
        <v>245</v>
      </c>
      <c r="Q347" s="133">
        <v>32</v>
      </c>
      <c r="R347" s="132" t="s">
        <v>279</v>
      </c>
      <c r="S347" s="132" t="s">
        <v>11</v>
      </c>
      <c r="T347" s="134">
        <v>42246</v>
      </c>
      <c r="U347" s="172">
        <f t="shared" si="25"/>
        <v>2015</v>
      </c>
      <c r="V347" s="172">
        <f t="shared" si="26"/>
        <v>8</v>
      </c>
      <c r="W347" s="44" t="s">
        <v>291</v>
      </c>
      <c r="X347" t="s">
        <v>892</v>
      </c>
      <c r="Y347">
        <v>1</v>
      </c>
      <c r="AA347" s="13">
        <f t="shared" si="24"/>
        <v>57777</v>
      </c>
      <c r="AE347" s="43"/>
      <c r="AL347" s="87" t="s">
        <v>819</v>
      </c>
      <c r="AM347" s="86">
        <v>24521773</v>
      </c>
    </row>
    <row r="348" spans="13:39" hidden="1">
      <c r="M348" s="131">
        <v>57777</v>
      </c>
      <c r="N348" s="223">
        <v>490359</v>
      </c>
      <c r="O348" s="132" t="s">
        <v>244</v>
      </c>
      <c r="P348" s="132" t="s">
        <v>245</v>
      </c>
      <c r="Q348" s="133">
        <v>175</v>
      </c>
      <c r="R348" s="132" t="s">
        <v>279</v>
      </c>
      <c r="S348" s="132" t="s">
        <v>11</v>
      </c>
      <c r="T348" s="134">
        <v>42246</v>
      </c>
      <c r="U348" s="172">
        <f t="shared" si="25"/>
        <v>2015</v>
      </c>
      <c r="V348" s="172">
        <f t="shared" si="26"/>
        <v>8</v>
      </c>
      <c r="W348" s="44" t="s">
        <v>291</v>
      </c>
      <c r="X348" t="s">
        <v>892</v>
      </c>
      <c r="Y348">
        <v>1</v>
      </c>
      <c r="AA348" s="13">
        <f t="shared" si="24"/>
        <v>57777</v>
      </c>
      <c r="AE348" s="43"/>
      <c r="AL348" s="87" t="s">
        <v>819</v>
      </c>
      <c r="AM348" s="86">
        <v>24564072</v>
      </c>
    </row>
    <row r="349" spans="13:39" hidden="1">
      <c r="M349" s="131">
        <v>57989</v>
      </c>
      <c r="N349" s="223">
        <v>468492</v>
      </c>
      <c r="O349" s="132" t="s">
        <v>244</v>
      </c>
      <c r="P349" s="132" t="s">
        <v>245</v>
      </c>
      <c r="Q349" s="133">
        <v>1586</v>
      </c>
      <c r="R349" s="132" t="s">
        <v>279</v>
      </c>
      <c r="S349" s="132" t="s">
        <v>11</v>
      </c>
      <c r="T349" s="134">
        <v>42548</v>
      </c>
      <c r="U349" s="172">
        <f t="shared" si="25"/>
        <v>2016</v>
      </c>
      <c r="V349" s="172">
        <f t="shared" si="26"/>
        <v>6</v>
      </c>
      <c r="W349" s="44" t="s">
        <v>280</v>
      </c>
      <c r="X349" t="s">
        <v>892</v>
      </c>
      <c r="Y349">
        <v>1</v>
      </c>
      <c r="AA349" s="13">
        <f t="shared" si="24"/>
        <v>57989</v>
      </c>
      <c r="AE349" s="43"/>
      <c r="AL349" s="87" t="s">
        <v>819</v>
      </c>
      <c r="AM349" s="86">
        <v>24646293</v>
      </c>
    </row>
    <row r="350" spans="13:39" hidden="1">
      <c r="M350" s="131">
        <v>58000</v>
      </c>
      <c r="N350" s="223">
        <v>468492</v>
      </c>
      <c r="O350" s="132" t="s">
        <v>244</v>
      </c>
      <c r="P350" s="132" t="s">
        <v>245</v>
      </c>
      <c r="Q350" s="133">
        <v>1131</v>
      </c>
      <c r="R350" s="132" t="s">
        <v>279</v>
      </c>
      <c r="S350" s="132" t="s">
        <v>11</v>
      </c>
      <c r="T350" s="134">
        <v>42548</v>
      </c>
      <c r="U350" s="172">
        <f t="shared" si="25"/>
        <v>2016</v>
      </c>
      <c r="V350" s="172">
        <f t="shared" si="26"/>
        <v>6</v>
      </c>
      <c r="W350" s="44" t="s">
        <v>280</v>
      </c>
      <c r="X350" t="s">
        <v>892</v>
      </c>
      <c r="Y350">
        <v>1</v>
      </c>
      <c r="AA350" s="13">
        <f t="shared" si="24"/>
        <v>58000</v>
      </c>
      <c r="AE350" s="43"/>
      <c r="AL350" s="87" t="s">
        <v>819</v>
      </c>
      <c r="AM350" s="86">
        <v>24761169</v>
      </c>
    </row>
    <row r="351" spans="13:39" hidden="1">
      <c r="M351" s="131">
        <v>58000</v>
      </c>
      <c r="N351" s="223">
        <v>565715</v>
      </c>
      <c r="O351" s="132" t="s">
        <v>244</v>
      </c>
      <c r="P351" s="132" t="s">
        <v>245</v>
      </c>
      <c r="Q351" s="133">
        <v>1527</v>
      </c>
      <c r="R351" s="132" t="s">
        <v>279</v>
      </c>
      <c r="S351" s="132" t="s">
        <v>11</v>
      </c>
      <c r="T351" s="134">
        <v>42548</v>
      </c>
      <c r="U351" s="172">
        <f t="shared" si="25"/>
        <v>2016</v>
      </c>
      <c r="V351" s="172">
        <f t="shared" si="26"/>
        <v>6</v>
      </c>
      <c r="W351" s="44" t="s">
        <v>280</v>
      </c>
      <c r="X351" t="s">
        <v>892</v>
      </c>
      <c r="Y351">
        <v>1</v>
      </c>
      <c r="AA351" s="13">
        <f t="shared" si="24"/>
        <v>58000</v>
      </c>
      <c r="AE351" s="43"/>
      <c r="AL351" s="87" t="s">
        <v>819</v>
      </c>
      <c r="AM351" s="86">
        <v>24932273</v>
      </c>
    </row>
    <row r="352" spans="13:39" hidden="1">
      <c r="M352" s="131">
        <v>58126</v>
      </c>
      <c r="N352" s="223">
        <v>468492</v>
      </c>
      <c r="O352" s="132" t="s">
        <v>244</v>
      </c>
      <c r="P352" s="132" t="s">
        <v>245</v>
      </c>
      <c r="Q352" s="133">
        <v>1130</v>
      </c>
      <c r="R352" s="132" t="s">
        <v>279</v>
      </c>
      <c r="S352" s="132" t="s">
        <v>11</v>
      </c>
      <c r="T352" s="134">
        <v>42548</v>
      </c>
      <c r="U352" s="172">
        <f t="shared" si="25"/>
        <v>2016</v>
      </c>
      <c r="V352" s="172">
        <f t="shared" si="26"/>
        <v>6</v>
      </c>
      <c r="W352" s="44" t="s">
        <v>280</v>
      </c>
      <c r="X352" t="s">
        <v>892</v>
      </c>
      <c r="Y352">
        <v>1</v>
      </c>
      <c r="AA352" s="13">
        <f t="shared" si="24"/>
        <v>58126</v>
      </c>
      <c r="AE352" s="43"/>
      <c r="AL352" s="87" t="s">
        <v>819</v>
      </c>
      <c r="AM352" s="86">
        <v>25149081</v>
      </c>
    </row>
    <row r="353" spans="13:39" hidden="1">
      <c r="M353" s="131">
        <v>58200</v>
      </c>
      <c r="N353" s="223">
        <v>550338</v>
      </c>
      <c r="O353" s="132" t="s">
        <v>244</v>
      </c>
      <c r="P353" s="132" t="s">
        <v>245</v>
      </c>
      <c r="Q353" s="133">
        <v>25</v>
      </c>
      <c r="R353" s="132" t="s">
        <v>279</v>
      </c>
      <c r="S353" s="132" t="s">
        <v>11</v>
      </c>
      <c r="T353" s="134">
        <v>42548</v>
      </c>
      <c r="U353" s="172">
        <f t="shared" si="25"/>
        <v>2016</v>
      </c>
      <c r="V353" s="172">
        <f t="shared" si="26"/>
        <v>6</v>
      </c>
      <c r="W353" s="44" t="s">
        <v>280</v>
      </c>
      <c r="X353" t="s">
        <v>892</v>
      </c>
      <c r="Y353">
        <v>1</v>
      </c>
      <c r="AA353" s="13">
        <f t="shared" si="24"/>
        <v>58200</v>
      </c>
      <c r="AE353" s="43"/>
      <c r="AL353" s="87" t="s">
        <v>819</v>
      </c>
      <c r="AM353" s="86">
        <v>25319999</v>
      </c>
    </row>
    <row r="354" spans="13:39" hidden="1">
      <c r="M354" s="131">
        <v>58261</v>
      </c>
      <c r="N354" s="223">
        <v>654562</v>
      </c>
      <c r="O354" s="132" t="s">
        <v>244</v>
      </c>
      <c r="P354" s="132" t="s">
        <v>245</v>
      </c>
      <c r="Q354" s="133">
        <v>1604</v>
      </c>
      <c r="R354" s="132" t="s">
        <v>279</v>
      </c>
      <c r="S354" s="132" t="s">
        <v>11</v>
      </c>
      <c r="T354" s="134">
        <v>42548</v>
      </c>
      <c r="U354" s="172">
        <f t="shared" si="25"/>
        <v>2016</v>
      </c>
      <c r="V354" s="172">
        <f t="shared" si="26"/>
        <v>6</v>
      </c>
      <c r="W354" s="44" t="s">
        <v>280</v>
      </c>
      <c r="X354" t="s">
        <v>892</v>
      </c>
      <c r="Y354">
        <v>1</v>
      </c>
      <c r="AA354" s="13">
        <f t="shared" si="24"/>
        <v>58261</v>
      </c>
      <c r="AE354" s="43"/>
      <c r="AL354" s="87" t="s">
        <v>819</v>
      </c>
      <c r="AM354" s="86">
        <v>254358</v>
      </c>
    </row>
    <row r="355" spans="13:39" hidden="1">
      <c r="M355" s="131">
        <v>58800</v>
      </c>
      <c r="N355" s="223">
        <v>488377</v>
      </c>
      <c r="O355" s="132" t="s">
        <v>244</v>
      </c>
      <c r="P355" s="132" t="s">
        <v>245</v>
      </c>
      <c r="Q355" s="133">
        <v>10</v>
      </c>
      <c r="R355" s="132" t="s">
        <v>279</v>
      </c>
      <c r="S355" s="132" t="s">
        <v>11</v>
      </c>
      <c r="T355" s="134">
        <v>42246</v>
      </c>
      <c r="U355" s="172">
        <f t="shared" si="25"/>
        <v>2015</v>
      </c>
      <c r="V355" s="172">
        <f t="shared" si="26"/>
        <v>8</v>
      </c>
      <c r="W355" s="44" t="s">
        <v>291</v>
      </c>
      <c r="X355" t="s">
        <v>892</v>
      </c>
      <c r="Y355">
        <v>1</v>
      </c>
      <c r="AA355" s="13">
        <f t="shared" si="24"/>
        <v>58800</v>
      </c>
      <c r="AE355" s="43"/>
      <c r="AL355" s="87" t="s">
        <v>819</v>
      </c>
      <c r="AM355" s="86">
        <v>25449709</v>
      </c>
    </row>
    <row r="356" spans="13:39" hidden="1">
      <c r="M356" s="131">
        <v>59105</v>
      </c>
      <c r="N356" s="223">
        <v>541227</v>
      </c>
      <c r="O356" s="132" t="s">
        <v>244</v>
      </c>
      <c r="P356" s="132" t="s">
        <v>245</v>
      </c>
      <c r="Q356" s="133">
        <v>1099</v>
      </c>
      <c r="R356" s="132" t="s">
        <v>279</v>
      </c>
      <c r="S356" s="132" t="s">
        <v>11</v>
      </c>
      <c r="T356" s="134">
        <v>42548</v>
      </c>
      <c r="U356" s="172">
        <f t="shared" si="25"/>
        <v>2016</v>
      </c>
      <c r="V356" s="172">
        <f t="shared" si="26"/>
        <v>6</v>
      </c>
      <c r="W356" s="44" t="s">
        <v>280</v>
      </c>
      <c r="X356" t="s">
        <v>892</v>
      </c>
      <c r="Y356">
        <v>1</v>
      </c>
      <c r="AA356" s="13">
        <f t="shared" si="24"/>
        <v>59105</v>
      </c>
      <c r="AE356" s="43"/>
      <c r="AL356" s="87" t="s">
        <v>819</v>
      </c>
      <c r="AM356" s="86">
        <v>25449709</v>
      </c>
    </row>
    <row r="357" spans="13:39" hidden="1">
      <c r="M357" s="131">
        <v>59324</v>
      </c>
      <c r="N357" s="223">
        <v>470201</v>
      </c>
      <c r="O357" s="132" t="s">
        <v>244</v>
      </c>
      <c r="P357" s="132" t="s">
        <v>245</v>
      </c>
      <c r="Q357" s="133">
        <v>1168</v>
      </c>
      <c r="R357" s="132" t="s">
        <v>279</v>
      </c>
      <c r="S357" s="132" t="s">
        <v>11</v>
      </c>
      <c r="T357" s="134">
        <v>42548</v>
      </c>
      <c r="U357" s="172">
        <f t="shared" si="25"/>
        <v>2016</v>
      </c>
      <c r="V357" s="172">
        <f t="shared" si="26"/>
        <v>6</v>
      </c>
      <c r="W357" s="44" t="s">
        <v>280</v>
      </c>
      <c r="X357" t="s">
        <v>892</v>
      </c>
      <c r="Y357">
        <v>1</v>
      </c>
      <c r="AA357" s="13">
        <f t="shared" si="24"/>
        <v>59324</v>
      </c>
      <c r="AE357" s="43"/>
      <c r="AL357" s="87" t="s">
        <v>819</v>
      </c>
      <c r="AM357" s="86">
        <v>25511903</v>
      </c>
    </row>
    <row r="358" spans="13:39" hidden="1">
      <c r="M358" s="131">
        <v>59818</v>
      </c>
      <c r="N358" s="223">
        <v>530975</v>
      </c>
      <c r="O358" s="132" t="s">
        <v>244</v>
      </c>
      <c r="P358" s="132" t="s">
        <v>245</v>
      </c>
      <c r="Q358" s="133">
        <v>1119</v>
      </c>
      <c r="R358" s="132" t="s">
        <v>279</v>
      </c>
      <c r="S358" s="132" t="s">
        <v>11</v>
      </c>
      <c r="T358" s="134">
        <v>42548</v>
      </c>
      <c r="U358" s="172">
        <f t="shared" si="25"/>
        <v>2016</v>
      </c>
      <c r="V358" s="172">
        <f t="shared" si="26"/>
        <v>6</v>
      </c>
      <c r="W358" s="44" t="s">
        <v>280</v>
      </c>
      <c r="X358" t="s">
        <v>892</v>
      </c>
      <c r="Y358">
        <v>1</v>
      </c>
      <c r="AA358" s="13">
        <f t="shared" si="24"/>
        <v>59818</v>
      </c>
      <c r="AE358" s="43"/>
      <c r="AL358" s="87" t="s">
        <v>819</v>
      </c>
      <c r="AM358" s="86">
        <v>25511903</v>
      </c>
    </row>
    <row r="359" spans="13:39" hidden="1">
      <c r="M359" s="131">
        <v>60000</v>
      </c>
      <c r="N359" s="223">
        <v>468492</v>
      </c>
      <c r="O359" s="132" t="s">
        <v>244</v>
      </c>
      <c r="P359" s="132" t="s">
        <v>245</v>
      </c>
      <c r="Q359" s="133">
        <v>1148</v>
      </c>
      <c r="R359" s="132" t="s">
        <v>279</v>
      </c>
      <c r="S359" s="132" t="s">
        <v>11</v>
      </c>
      <c r="T359" s="134">
        <v>42548</v>
      </c>
      <c r="U359" s="172">
        <f t="shared" si="25"/>
        <v>2016</v>
      </c>
      <c r="V359" s="172">
        <f t="shared" si="26"/>
        <v>6</v>
      </c>
      <c r="W359" s="44" t="s">
        <v>280</v>
      </c>
      <c r="X359" t="s">
        <v>892</v>
      </c>
      <c r="Y359">
        <v>1</v>
      </c>
      <c r="AA359" s="13">
        <f t="shared" si="24"/>
        <v>60000</v>
      </c>
      <c r="AE359" s="43"/>
      <c r="AL359" s="87" t="s">
        <v>819</v>
      </c>
      <c r="AM359" s="86">
        <v>25672630</v>
      </c>
    </row>
    <row r="360" spans="13:39" hidden="1">
      <c r="M360" s="131">
        <v>60000</v>
      </c>
      <c r="N360" s="223">
        <v>470201</v>
      </c>
      <c r="O360" s="132" t="s">
        <v>244</v>
      </c>
      <c r="P360" s="132" t="s">
        <v>245</v>
      </c>
      <c r="Q360" s="133">
        <v>1177</v>
      </c>
      <c r="R360" s="132" t="s">
        <v>279</v>
      </c>
      <c r="S360" s="132" t="s">
        <v>11</v>
      </c>
      <c r="T360" s="134">
        <v>42548</v>
      </c>
      <c r="U360" s="172">
        <f t="shared" si="25"/>
        <v>2016</v>
      </c>
      <c r="V360" s="172">
        <f t="shared" si="26"/>
        <v>6</v>
      </c>
      <c r="W360" s="44" t="s">
        <v>280</v>
      </c>
      <c r="X360" t="s">
        <v>892</v>
      </c>
      <c r="Y360">
        <v>1</v>
      </c>
      <c r="AA360" s="13">
        <f t="shared" si="24"/>
        <v>60000</v>
      </c>
      <c r="AE360" s="43"/>
      <c r="AL360" s="87" t="s">
        <v>819</v>
      </c>
      <c r="AM360" s="86">
        <v>2593922</v>
      </c>
    </row>
    <row r="361" spans="13:39" hidden="1">
      <c r="M361" s="131">
        <v>60000</v>
      </c>
      <c r="N361" s="223">
        <v>484413</v>
      </c>
      <c r="O361" s="132" t="s">
        <v>244</v>
      </c>
      <c r="P361" s="132" t="s">
        <v>245</v>
      </c>
      <c r="Q361" s="133">
        <v>2</v>
      </c>
      <c r="R361" s="132" t="s">
        <v>279</v>
      </c>
      <c r="S361" s="132" t="s">
        <v>11</v>
      </c>
      <c r="T361" s="134">
        <v>42246</v>
      </c>
      <c r="U361" s="172">
        <f t="shared" si="25"/>
        <v>2015</v>
      </c>
      <c r="V361" s="172">
        <f t="shared" si="26"/>
        <v>8</v>
      </c>
      <c r="W361" s="44" t="s">
        <v>291</v>
      </c>
      <c r="X361" t="s">
        <v>892</v>
      </c>
      <c r="Y361">
        <v>1</v>
      </c>
      <c r="AA361" s="13">
        <f t="shared" si="24"/>
        <v>60000</v>
      </c>
      <c r="AE361" s="43"/>
      <c r="AL361" s="87" t="s">
        <v>819</v>
      </c>
      <c r="AM361" s="86">
        <v>259600</v>
      </c>
    </row>
    <row r="362" spans="13:39" hidden="1">
      <c r="M362" s="131">
        <v>60000</v>
      </c>
      <c r="N362" s="223">
        <v>486394</v>
      </c>
      <c r="O362" s="132" t="s">
        <v>244</v>
      </c>
      <c r="P362" s="132" t="s">
        <v>245</v>
      </c>
      <c r="Q362" s="133">
        <v>498</v>
      </c>
      <c r="R362" s="132" t="s">
        <v>279</v>
      </c>
      <c r="S362" s="132" t="s">
        <v>11</v>
      </c>
      <c r="T362" s="134">
        <v>42246</v>
      </c>
      <c r="U362" s="172">
        <f t="shared" si="25"/>
        <v>2015</v>
      </c>
      <c r="V362" s="172">
        <f t="shared" si="26"/>
        <v>8</v>
      </c>
      <c r="W362" s="44" t="s">
        <v>291</v>
      </c>
      <c r="X362" t="s">
        <v>892</v>
      </c>
      <c r="Y362">
        <v>1</v>
      </c>
      <c r="AA362" s="13">
        <f t="shared" si="24"/>
        <v>60000</v>
      </c>
      <c r="AE362" s="43"/>
      <c r="AL362" s="87" t="s">
        <v>819</v>
      </c>
      <c r="AM362" s="86">
        <v>261062</v>
      </c>
    </row>
    <row r="363" spans="13:39" hidden="1">
      <c r="M363" s="131">
        <v>60000</v>
      </c>
      <c r="N363" s="223">
        <v>524710</v>
      </c>
      <c r="O363" s="132" t="s">
        <v>244</v>
      </c>
      <c r="P363" s="132" t="s">
        <v>245</v>
      </c>
      <c r="Q363" s="133">
        <v>1437</v>
      </c>
      <c r="R363" s="132" t="s">
        <v>279</v>
      </c>
      <c r="S363" s="132" t="s">
        <v>11</v>
      </c>
      <c r="T363" s="134">
        <v>42548</v>
      </c>
      <c r="U363" s="172">
        <f t="shared" si="25"/>
        <v>2016</v>
      </c>
      <c r="V363" s="172">
        <f t="shared" si="26"/>
        <v>6</v>
      </c>
      <c r="W363" s="44" t="s">
        <v>280</v>
      </c>
      <c r="X363" t="s">
        <v>892</v>
      </c>
      <c r="Y363">
        <v>1</v>
      </c>
      <c r="AA363" s="13">
        <f t="shared" si="24"/>
        <v>60000</v>
      </c>
      <c r="AE363" s="43"/>
      <c r="AL363" s="87" t="s">
        <v>819</v>
      </c>
      <c r="AM363" s="86">
        <v>261062</v>
      </c>
    </row>
    <row r="364" spans="13:39" hidden="1">
      <c r="M364" s="131">
        <v>60000</v>
      </c>
      <c r="N364" s="223">
        <v>527349</v>
      </c>
      <c r="O364" s="132" t="s">
        <v>244</v>
      </c>
      <c r="P364" s="132" t="s">
        <v>245</v>
      </c>
      <c r="Q364" s="133">
        <v>663</v>
      </c>
      <c r="R364" s="132" t="s">
        <v>279</v>
      </c>
      <c r="S364" s="132" t="s">
        <v>11</v>
      </c>
      <c r="T364" s="134">
        <v>42246</v>
      </c>
      <c r="U364" s="172">
        <f t="shared" si="25"/>
        <v>2015</v>
      </c>
      <c r="V364" s="172">
        <f t="shared" si="26"/>
        <v>8</v>
      </c>
      <c r="W364" s="44" t="s">
        <v>291</v>
      </c>
      <c r="X364" t="s">
        <v>892</v>
      </c>
      <c r="Y364">
        <v>1</v>
      </c>
      <c r="AA364" s="13">
        <f t="shared" si="24"/>
        <v>60000</v>
      </c>
      <c r="AE364" s="43"/>
      <c r="AL364" s="87" t="s">
        <v>819</v>
      </c>
      <c r="AM364" s="86">
        <v>261062</v>
      </c>
    </row>
    <row r="365" spans="13:39" hidden="1">
      <c r="M365" s="131">
        <v>60000</v>
      </c>
      <c r="N365" s="223">
        <v>548630</v>
      </c>
      <c r="O365" s="132" t="s">
        <v>244</v>
      </c>
      <c r="P365" s="132" t="s">
        <v>245</v>
      </c>
      <c r="Q365" s="133">
        <v>1018</v>
      </c>
      <c r="R365" s="132" t="s">
        <v>279</v>
      </c>
      <c r="S365" s="132" t="s">
        <v>11</v>
      </c>
      <c r="T365" s="134">
        <v>42548</v>
      </c>
      <c r="U365" s="172">
        <f t="shared" si="25"/>
        <v>2016</v>
      </c>
      <c r="V365" s="172">
        <f t="shared" si="26"/>
        <v>6</v>
      </c>
      <c r="W365" s="44" t="s">
        <v>280</v>
      </c>
      <c r="X365" t="s">
        <v>892</v>
      </c>
      <c r="Y365">
        <v>1</v>
      </c>
      <c r="AA365" s="13">
        <f t="shared" si="24"/>
        <v>60000</v>
      </c>
      <c r="AE365" s="43"/>
      <c r="AL365" s="87" t="s">
        <v>819</v>
      </c>
      <c r="AM365" s="86">
        <v>26176919</v>
      </c>
    </row>
    <row r="366" spans="13:39" hidden="1">
      <c r="M366" s="131">
        <v>60000</v>
      </c>
      <c r="N366" s="223">
        <v>561729</v>
      </c>
      <c r="O366" s="132" t="s">
        <v>244</v>
      </c>
      <c r="P366" s="132" t="s">
        <v>245</v>
      </c>
      <c r="Q366" s="133">
        <v>66</v>
      </c>
      <c r="R366" s="132" t="s">
        <v>279</v>
      </c>
      <c r="S366" s="132" t="s">
        <v>11</v>
      </c>
      <c r="T366" s="134">
        <v>42548</v>
      </c>
      <c r="U366" s="172">
        <f t="shared" si="25"/>
        <v>2016</v>
      </c>
      <c r="V366" s="172">
        <f t="shared" si="26"/>
        <v>6</v>
      </c>
      <c r="W366" s="44" t="s">
        <v>280</v>
      </c>
      <c r="X366" t="s">
        <v>892</v>
      </c>
      <c r="Y366">
        <v>1</v>
      </c>
      <c r="AA366" s="13">
        <f t="shared" si="24"/>
        <v>60000</v>
      </c>
      <c r="AE366" s="43"/>
      <c r="AL366" s="87" t="s">
        <v>819</v>
      </c>
      <c r="AM366" s="86">
        <v>26176919</v>
      </c>
    </row>
    <row r="367" spans="13:39" hidden="1">
      <c r="M367" s="131">
        <v>60000</v>
      </c>
      <c r="N367" s="223">
        <v>574828</v>
      </c>
      <c r="O367" s="132" t="s">
        <v>244</v>
      </c>
      <c r="P367" s="132" t="s">
        <v>245</v>
      </c>
      <c r="Q367" s="133">
        <v>1454</v>
      </c>
      <c r="R367" s="132" t="s">
        <v>279</v>
      </c>
      <c r="S367" s="132" t="s">
        <v>11</v>
      </c>
      <c r="T367" s="134">
        <v>42548</v>
      </c>
      <c r="U367" s="172">
        <f t="shared" si="25"/>
        <v>2016</v>
      </c>
      <c r="V367" s="172">
        <f t="shared" si="26"/>
        <v>6</v>
      </c>
      <c r="W367" s="44" t="s">
        <v>280</v>
      </c>
      <c r="X367" t="s">
        <v>892</v>
      </c>
      <c r="Y367">
        <v>1</v>
      </c>
      <c r="AA367" s="13">
        <f t="shared" si="24"/>
        <v>60000</v>
      </c>
      <c r="AE367" s="43"/>
      <c r="AL367" s="87" t="s">
        <v>819</v>
      </c>
      <c r="AM367" s="86">
        <v>26347340</v>
      </c>
    </row>
    <row r="368" spans="13:39" hidden="1">
      <c r="M368" s="131">
        <v>60018</v>
      </c>
      <c r="N368" s="223">
        <v>470201</v>
      </c>
      <c r="O368" s="132" t="s">
        <v>244</v>
      </c>
      <c r="P368" s="132" t="s">
        <v>245</v>
      </c>
      <c r="Q368" s="133">
        <v>1166</v>
      </c>
      <c r="R368" s="132" t="s">
        <v>279</v>
      </c>
      <c r="S368" s="132" t="s">
        <v>11</v>
      </c>
      <c r="T368" s="134">
        <v>42548</v>
      </c>
      <c r="U368" s="172">
        <f t="shared" si="25"/>
        <v>2016</v>
      </c>
      <c r="V368" s="172">
        <f t="shared" si="26"/>
        <v>6</v>
      </c>
      <c r="W368" s="44" t="s">
        <v>280</v>
      </c>
      <c r="X368" t="s">
        <v>892</v>
      </c>
      <c r="Y368">
        <v>1</v>
      </c>
      <c r="AA368" s="13">
        <f t="shared" si="24"/>
        <v>60018</v>
      </c>
      <c r="AE368" s="43"/>
      <c r="AL368" s="87" t="s">
        <v>819</v>
      </c>
      <c r="AM368" s="86">
        <v>26459799</v>
      </c>
    </row>
    <row r="369" spans="13:39" hidden="1">
      <c r="M369" s="131">
        <v>60018</v>
      </c>
      <c r="N369" s="223">
        <v>561729</v>
      </c>
      <c r="O369" s="132" t="s">
        <v>244</v>
      </c>
      <c r="P369" s="132" t="s">
        <v>245</v>
      </c>
      <c r="Q369" s="133">
        <v>15</v>
      </c>
      <c r="R369" s="132" t="s">
        <v>279</v>
      </c>
      <c r="S369" s="132" t="s">
        <v>11</v>
      </c>
      <c r="T369" s="134">
        <v>42548</v>
      </c>
      <c r="U369" s="172">
        <f t="shared" si="25"/>
        <v>2016</v>
      </c>
      <c r="V369" s="172">
        <f t="shared" si="26"/>
        <v>6</v>
      </c>
      <c r="W369" s="44" t="s">
        <v>280</v>
      </c>
      <c r="X369" t="s">
        <v>892</v>
      </c>
      <c r="Y369">
        <v>1</v>
      </c>
      <c r="AA369" s="13">
        <f t="shared" si="24"/>
        <v>60018</v>
      </c>
      <c r="AE369" s="43"/>
      <c r="AL369" s="87" t="s">
        <v>819</v>
      </c>
      <c r="AM369" s="86">
        <v>264850</v>
      </c>
    </row>
    <row r="370" spans="13:39" hidden="1">
      <c r="M370" s="131">
        <v>60060</v>
      </c>
      <c r="N370" s="223">
        <v>560021</v>
      </c>
      <c r="O370" s="132" t="s">
        <v>244</v>
      </c>
      <c r="P370" s="132" t="s">
        <v>245</v>
      </c>
      <c r="Q370" s="133">
        <v>1007</v>
      </c>
      <c r="R370" s="132" t="s">
        <v>279</v>
      </c>
      <c r="S370" s="132" t="s">
        <v>11</v>
      </c>
      <c r="T370" s="134">
        <v>42548</v>
      </c>
      <c r="U370" s="172">
        <f t="shared" si="25"/>
        <v>2016</v>
      </c>
      <c r="V370" s="172">
        <f t="shared" si="26"/>
        <v>6</v>
      </c>
      <c r="W370" s="44" t="s">
        <v>280</v>
      </c>
      <c r="X370" t="s">
        <v>892</v>
      </c>
      <c r="Y370">
        <v>1</v>
      </c>
      <c r="AA370" s="13">
        <f t="shared" si="24"/>
        <v>60060</v>
      </c>
      <c r="AE370" s="43"/>
      <c r="AL370" s="87" t="s">
        <v>819</v>
      </c>
      <c r="AM370" s="86">
        <v>264850</v>
      </c>
    </row>
    <row r="371" spans="13:39" hidden="1">
      <c r="M371" s="131">
        <v>60060</v>
      </c>
      <c r="N371" s="223">
        <v>573689</v>
      </c>
      <c r="O371" s="132" t="s">
        <v>244</v>
      </c>
      <c r="P371" s="132" t="s">
        <v>245</v>
      </c>
      <c r="Q371" s="133">
        <v>1502</v>
      </c>
      <c r="R371" s="132" t="s">
        <v>279</v>
      </c>
      <c r="S371" s="132" t="s">
        <v>11</v>
      </c>
      <c r="T371" s="134">
        <v>42548</v>
      </c>
      <c r="U371" s="172">
        <f t="shared" si="25"/>
        <v>2016</v>
      </c>
      <c r="V371" s="172">
        <f t="shared" si="26"/>
        <v>6</v>
      </c>
      <c r="W371" s="44" t="s">
        <v>280</v>
      </c>
      <c r="X371" t="s">
        <v>892</v>
      </c>
      <c r="Y371">
        <v>1</v>
      </c>
      <c r="AA371" s="13">
        <f t="shared" si="24"/>
        <v>60060</v>
      </c>
      <c r="AE371" s="43"/>
      <c r="AL371" s="87" t="s">
        <v>819</v>
      </c>
      <c r="AM371" s="86">
        <v>26526843</v>
      </c>
    </row>
    <row r="372" spans="13:39" hidden="1">
      <c r="M372" s="131">
        <v>60100</v>
      </c>
      <c r="N372" s="223">
        <v>543504</v>
      </c>
      <c r="O372" s="132" t="s">
        <v>244</v>
      </c>
      <c r="P372" s="132" t="s">
        <v>245</v>
      </c>
      <c r="Q372" s="133">
        <v>1081</v>
      </c>
      <c r="R372" s="132" t="s">
        <v>279</v>
      </c>
      <c r="S372" s="132" t="s">
        <v>11</v>
      </c>
      <c r="T372" s="134">
        <v>42548</v>
      </c>
      <c r="U372" s="172">
        <f t="shared" si="25"/>
        <v>2016</v>
      </c>
      <c r="V372" s="172">
        <f t="shared" si="26"/>
        <v>6</v>
      </c>
      <c r="W372" s="44" t="s">
        <v>280</v>
      </c>
      <c r="X372" t="s">
        <v>892</v>
      </c>
      <c r="Y372">
        <v>1</v>
      </c>
      <c r="AA372" s="13">
        <f t="shared" si="24"/>
        <v>60100</v>
      </c>
      <c r="AE372" s="43"/>
      <c r="AL372" s="87" t="s">
        <v>819</v>
      </c>
      <c r="AM372" s="86">
        <v>2670705</v>
      </c>
    </row>
    <row r="373" spans="13:39" hidden="1">
      <c r="M373" s="131">
        <v>60600</v>
      </c>
      <c r="N373" s="223">
        <v>476482</v>
      </c>
      <c r="O373" s="132" t="s">
        <v>244</v>
      </c>
      <c r="P373" s="132" t="s">
        <v>245</v>
      </c>
      <c r="Q373" s="133">
        <v>399</v>
      </c>
      <c r="R373" s="132" t="s">
        <v>279</v>
      </c>
      <c r="S373" s="132" t="s">
        <v>11</v>
      </c>
      <c r="T373" s="134">
        <v>42246</v>
      </c>
      <c r="U373" s="172">
        <f t="shared" si="25"/>
        <v>2015</v>
      </c>
      <c r="V373" s="172">
        <f t="shared" si="26"/>
        <v>8</v>
      </c>
      <c r="W373" s="44" t="s">
        <v>291</v>
      </c>
      <c r="X373" t="s">
        <v>892</v>
      </c>
      <c r="Y373">
        <v>1</v>
      </c>
      <c r="AA373" s="13">
        <f t="shared" si="24"/>
        <v>60600</v>
      </c>
      <c r="AE373" s="43"/>
      <c r="AL373" s="87" t="s">
        <v>819</v>
      </c>
      <c r="AM373" s="86">
        <v>26741712</v>
      </c>
    </row>
    <row r="374" spans="13:39" hidden="1">
      <c r="M374" s="131">
        <v>60600</v>
      </c>
      <c r="N374" s="223">
        <v>559450</v>
      </c>
      <c r="O374" s="132" t="s">
        <v>244</v>
      </c>
      <c r="P374" s="132" t="s">
        <v>245</v>
      </c>
      <c r="Q374" s="133">
        <v>1475</v>
      </c>
      <c r="R374" s="132" t="s">
        <v>279</v>
      </c>
      <c r="S374" s="132" t="s">
        <v>11</v>
      </c>
      <c r="T374" s="134">
        <v>42548</v>
      </c>
      <c r="U374" s="172">
        <f t="shared" si="25"/>
        <v>2016</v>
      </c>
      <c r="V374" s="172">
        <f t="shared" si="26"/>
        <v>6</v>
      </c>
      <c r="W374" s="44" t="s">
        <v>280</v>
      </c>
      <c r="X374" t="s">
        <v>892</v>
      </c>
      <c r="Y374">
        <v>1</v>
      </c>
      <c r="AA374" s="13">
        <f t="shared" si="24"/>
        <v>60600</v>
      </c>
      <c r="AE374" s="43"/>
      <c r="AL374" s="87" t="s">
        <v>819</v>
      </c>
      <c r="AM374" s="86">
        <v>2677761</v>
      </c>
    </row>
    <row r="375" spans="13:39" hidden="1">
      <c r="M375" s="131">
        <v>60768</v>
      </c>
      <c r="N375" s="223">
        <v>475987</v>
      </c>
      <c r="O375" s="132" t="s">
        <v>244</v>
      </c>
      <c r="P375" s="132" t="s">
        <v>245</v>
      </c>
      <c r="Q375" s="133">
        <v>221</v>
      </c>
      <c r="R375" s="132" t="s">
        <v>279</v>
      </c>
      <c r="S375" s="132" t="s">
        <v>11</v>
      </c>
      <c r="T375" s="134">
        <v>42246</v>
      </c>
      <c r="U375" s="172">
        <f t="shared" si="25"/>
        <v>2015</v>
      </c>
      <c r="V375" s="172">
        <f t="shared" si="26"/>
        <v>8</v>
      </c>
      <c r="W375" s="44" t="s">
        <v>291</v>
      </c>
      <c r="X375" t="s">
        <v>892</v>
      </c>
      <c r="Y375">
        <v>1</v>
      </c>
      <c r="AA375" s="13">
        <f t="shared" si="24"/>
        <v>60768</v>
      </c>
      <c r="AE375" s="43"/>
      <c r="AL375" s="87" t="s">
        <v>819</v>
      </c>
      <c r="AM375" s="86">
        <v>26787954</v>
      </c>
    </row>
    <row r="376" spans="13:39" hidden="1">
      <c r="M376" s="131">
        <v>60800</v>
      </c>
      <c r="N376" s="223">
        <v>485899</v>
      </c>
      <c r="O376" s="132" t="s">
        <v>244</v>
      </c>
      <c r="P376" s="132" t="s">
        <v>245</v>
      </c>
      <c r="Q376" s="133">
        <v>374</v>
      </c>
      <c r="R376" s="132" t="s">
        <v>279</v>
      </c>
      <c r="S376" s="132" t="s">
        <v>11</v>
      </c>
      <c r="T376" s="134">
        <v>42246</v>
      </c>
      <c r="U376" s="172">
        <f t="shared" si="25"/>
        <v>2015</v>
      </c>
      <c r="V376" s="172">
        <f t="shared" si="26"/>
        <v>8</v>
      </c>
      <c r="W376" s="44" t="s">
        <v>291</v>
      </c>
      <c r="X376" t="s">
        <v>892</v>
      </c>
      <c r="Y376">
        <v>1</v>
      </c>
      <c r="AA376" s="13">
        <f t="shared" si="24"/>
        <v>60800</v>
      </c>
      <c r="AE376" s="43"/>
      <c r="AL376" s="87" t="s">
        <v>819</v>
      </c>
      <c r="AM376" s="86">
        <v>2688725</v>
      </c>
    </row>
    <row r="377" spans="13:39" hidden="1">
      <c r="M377" s="131">
        <v>61000</v>
      </c>
      <c r="N377" s="223">
        <v>541796</v>
      </c>
      <c r="O377" s="132" t="s">
        <v>244</v>
      </c>
      <c r="P377" s="132" t="s">
        <v>245</v>
      </c>
      <c r="Q377" s="133">
        <v>1100</v>
      </c>
      <c r="R377" s="132" t="s">
        <v>279</v>
      </c>
      <c r="S377" s="132" t="s">
        <v>11</v>
      </c>
      <c r="T377" s="134">
        <v>42548</v>
      </c>
      <c r="U377" s="172">
        <f t="shared" si="25"/>
        <v>2016</v>
      </c>
      <c r="V377" s="172">
        <f t="shared" si="26"/>
        <v>6</v>
      </c>
      <c r="W377" s="44" t="s">
        <v>280</v>
      </c>
      <c r="X377" t="s">
        <v>892</v>
      </c>
      <c r="Y377">
        <v>1</v>
      </c>
      <c r="AA377" s="13">
        <f t="shared" si="24"/>
        <v>61000</v>
      </c>
      <c r="AE377" s="43"/>
      <c r="AL377" s="87" t="s">
        <v>819</v>
      </c>
      <c r="AM377" s="86">
        <v>26910053</v>
      </c>
    </row>
    <row r="378" spans="13:39" hidden="1">
      <c r="M378" s="131">
        <v>61000</v>
      </c>
      <c r="N378" s="223">
        <v>636906</v>
      </c>
      <c r="O378" s="132" t="s">
        <v>244</v>
      </c>
      <c r="P378" s="132" t="s">
        <v>245</v>
      </c>
      <c r="Q378" s="133">
        <v>1189</v>
      </c>
      <c r="R378" s="132" t="s">
        <v>279</v>
      </c>
      <c r="S378" s="132" t="s">
        <v>11</v>
      </c>
      <c r="T378" s="134">
        <v>42548</v>
      </c>
      <c r="U378" s="172">
        <f t="shared" si="25"/>
        <v>2016</v>
      </c>
      <c r="V378" s="172">
        <f t="shared" si="26"/>
        <v>6</v>
      </c>
      <c r="W378" s="44" t="s">
        <v>280</v>
      </c>
      <c r="X378" t="s">
        <v>892</v>
      </c>
      <c r="Y378">
        <v>1</v>
      </c>
      <c r="AA378" s="13">
        <f t="shared" si="24"/>
        <v>61000</v>
      </c>
      <c r="AE378" s="43"/>
      <c r="AL378" s="87" t="s">
        <v>819</v>
      </c>
      <c r="AM378" s="86">
        <v>26910053</v>
      </c>
    </row>
    <row r="379" spans="13:39" hidden="1">
      <c r="M379" s="131">
        <v>61025</v>
      </c>
      <c r="N379" s="223">
        <v>542364</v>
      </c>
      <c r="O379" s="132" t="s">
        <v>244</v>
      </c>
      <c r="P379" s="132" t="s">
        <v>245</v>
      </c>
      <c r="Q379" s="133">
        <v>1469</v>
      </c>
      <c r="R379" s="132" t="s">
        <v>279</v>
      </c>
      <c r="S379" s="132" t="s">
        <v>11</v>
      </c>
      <c r="T379" s="134">
        <v>42548</v>
      </c>
      <c r="U379" s="172">
        <f t="shared" si="25"/>
        <v>2016</v>
      </c>
      <c r="V379" s="172">
        <f t="shared" si="26"/>
        <v>6</v>
      </c>
      <c r="W379" s="44" t="s">
        <v>280</v>
      </c>
      <c r="X379" t="s">
        <v>892</v>
      </c>
      <c r="Y379">
        <v>1</v>
      </c>
      <c r="AA379" s="13">
        <f t="shared" si="24"/>
        <v>61025</v>
      </c>
      <c r="AE379" s="43"/>
      <c r="AL379" s="87" t="s">
        <v>819</v>
      </c>
      <c r="AM379" s="86">
        <v>27283244</v>
      </c>
    </row>
    <row r="380" spans="13:39" hidden="1">
      <c r="M380" s="131">
        <v>61050</v>
      </c>
      <c r="N380" s="223">
        <v>671648</v>
      </c>
      <c r="O380" s="132" t="s">
        <v>244</v>
      </c>
      <c r="P380" s="132" t="s">
        <v>245</v>
      </c>
      <c r="Q380" s="133">
        <v>1605</v>
      </c>
      <c r="R380" s="132" t="s">
        <v>279</v>
      </c>
      <c r="S380" s="132" t="s">
        <v>11</v>
      </c>
      <c r="T380" s="134">
        <v>42548</v>
      </c>
      <c r="U380" s="172">
        <f t="shared" si="25"/>
        <v>2016</v>
      </c>
      <c r="V380" s="172">
        <f t="shared" si="26"/>
        <v>6</v>
      </c>
      <c r="W380" s="44" t="s">
        <v>280</v>
      </c>
      <c r="X380" t="s">
        <v>892</v>
      </c>
      <c r="Y380">
        <v>1</v>
      </c>
      <c r="AA380" s="13">
        <f t="shared" si="24"/>
        <v>61050</v>
      </c>
      <c r="AE380" s="43"/>
      <c r="AL380" s="87" t="s">
        <v>819</v>
      </c>
      <c r="AM380" s="86">
        <v>2732539</v>
      </c>
    </row>
    <row r="381" spans="13:39" hidden="1">
      <c r="M381" s="131">
        <v>61080</v>
      </c>
      <c r="N381" s="223">
        <v>484413</v>
      </c>
      <c r="O381" s="132" t="s">
        <v>244</v>
      </c>
      <c r="P381" s="132" t="s">
        <v>245</v>
      </c>
      <c r="Q381" s="133">
        <v>14</v>
      </c>
      <c r="R381" s="132" t="s">
        <v>279</v>
      </c>
      <c r="S381" s="132" t="s">
        <v>11</v>
      </c>
      <c r="T381" s="134">
        <v>42246</v>
      </c>
      <c r="U381" s="172">
        <f t="shared" si="25"/>
        <v>2015</v>
      </c>
      <c r="V381" s="172">
        <f t="shared" si="26"/>
        <v>8</v>
      </c>
      <c r="W381" s="44" t="s">
        <v>291</v>
      </c>
      <c r="X381" t="s">
        <v>892</v>
      </c>
      <c r="Y381">
        <v>1</v>
      </c>
      <c r="AA381" s="13">
        <f t="shared" si="24"/>
        <v>61080</v>
      </c>
      <c r="AE381" s="43"/>
      <c r="AL381" s="87" t="s">
        <v>819</v>
      </c>
      <c r="AM381" s="86">
        <v>27352036</v>
      </c>
    </row>
    <row r="382" spans="13:39" hidden="1">
      <c r="M382" s="131">
        <v>61100</v>
      </c>
      <c r="N382" s="223">
        <v>544074</v>
      </c>
      <c r="O382" s="132" t="s">
        <v>244</v>
      </c>
      <c r="P382" s="132" t="s">
        <v>245</v>
      </c>
      <c r="Q382" s="133">
        <v>1438</v>
      </c>
      <c r="R382" s="132" t="s">
        <v>279</v>
      </c>
      <c r="S382" s="132" t="s">
        <v>11</v>
      </c>
      <c r="T382" s="134">
        <v>42548</v>
      </c>
      <c r="U382" s="172">
        <f t="shared" si="25"/>
        <v>2016</v>
      </c>
      <c r="V382" s="172">
        <f t="shared" si="26"/>
        <v>6</v>
      </c>
      <c r="W382" s="44" t="s">
        <v>280</v>
      </c>
      <c r="X382" t="s">
        <v>892</v>
      </c>
      <c r="Y382">
        <v>1</v>
      </c>
      <c r="AA382" s="13">
        <f t="shared" si="24"/>
        <v>61100</v>
      </c>
      <c r="AE382" s="43"/>
      <c r="AL382" s="87" t="s">
        <v>819</v>
      </c>
      <c r="AM382" s="86">
        <v>27364353</v>
      </c>
    </row>
    <row r="383" spans="13:39" hidden="1">
      <c r="M383" s="131">
        <v>61115</v>
      </c>
      <c r="N383" s="223">
        <v>519015</v>
      </c>
      <c r="O383" s="132" t="s">
        <v>244</v>
      </c>
      <c r="P383" s="132" t="s">
        <v>245</v>
      </c>
      <c r="Q383" s="133">
        <v>1412</v>
      </c>
      <c r="R383" s="132" t="s">
        <v>279</v>
      </c>
      <c r="S383" s="132" t="s">
        <v>11</v>
      </c>
      <c r="T383" s="134">
        <v>42548</v>
      </c>
      <c r="U383" s="172">
        <f t="shared" si="25"/>
        <v>2016</v>
      </c>
      <c r="V383" s="172">
        <f t="shared" si="26"/>
        <v>6</v>
      </c>
      <c r="W383" s="44" t="s">
        <v>280</v>
      </c>
      <c r="X383" t="s">
        <v>892</v>
      </c>
      <c r="Y383">
        <v>1</v>
      </c>
      <c r="AA383" s="13">
        <f t="shared" si="24"/>
        <v>61115</v>
      </c>
      <c r="AE383" s="43"/>
      <c r="AL383" s="87" t="s">
        <v>819</v>
      </c>
      <c r="AM383" s="86">
        <v>2747320</v>
      </c>
    </row>
    <row r="384" spans="13:39" hidden="1">
      <c r="M384" s="131">
        <v>61180</v>
      </c>
      <c r="N384" s="223">
        <v>484413</v>
      </c>
      <c r="O384" s="132" t="s">
        <v>244</v>
      </c>
      <c r="P384" s="132" t="s">
        <v>245</v>
      </c>
      <c r="Q384" s="133">
        <v>472</v>
      </c>
      <c r="R384" s="132" t="s">
        <v>279</v>
      </c>
      <c r="S384" s="132" t="s">
        <v>11</v>
      </c>
      <c r="T384" s="134">
        <v>42246</v>
      </c>
      <c r="U384" s="172">
        <f t="shared" si="25"/>
        <v>2015</v>
      </c>
      <c r="V384" s="172">
        <f t="shared" si="26"/>
        <v>8</v>
      </c>
      <c r="W384" s="44" t="s">
        <v>291</v>
      </c>
      <c r="X384" t="s">
        <v>892</v>
      </c>
      <c r="Y384">
        <v>1</v>
      </c>
      <c r="AA384" s="13">
        <f t="shared" si="24"/>
        <v>61180</v>
      </c>
      <c r="AE384" s="43"/>
      <c r="AL384" s="87" t="s">
        <v>819</v>
      </c>
      <c r="AM384" s="86">
        <v>2770385</v>
      </c>
    </row>
    <row r="385" spans="13:39" hidden="1">
      <c r="M385" s="131">
        <v>61200</v>
      </c>
      <c r="N385" s="223">
        <v>492837</v>
      </c>
      <c r="O385" s="132" t="s">
        <v>244</v>
      </c>
      <c r="P385" s="132" t="s">
        <v>245</v>
      </c>
      <c r="Q385" s="133">
        <v>345</v>
      </c>
      <c r="R385" s="132" t="s">
        <v>279</v>
      </c>
      <c r="S385" s="132" t="s">
        <v>11</v>
      </c>
      <c r="T385" s="134">
        <v>42246</v>
      </c>
      <c r="U385" s="172">
        <f t="shared" si="25"/>
        <v>2015</v>
      </c>
      <c r="V385" s="172">
        <f t="shared" si="26"/>
        <v>8</v>
      </c>
      <c r="W385" s="44" t="s">
        <v>291</v>
      </c>
      <c r="X385" t="s">
        <v>892</v>
      </c>
      <c r="Y385">
        <v>1</v>
      </c>
      <c r="AA385" s="13">
        <f t="shared" si="24"/>
        <v>61200</v>
      </c>
      <c r="AE385" s="43"/>
      <c r="AL385" s="87" t="s">
        <v>819</v>
      </c>
      <c r="AM385" s="86">
        <v>27749123</v>
      </c>
    </row>
    <row r="386" spans="13:39" hidden="1">
      <c r="M386" s="131">
        <v>61222</v>
      </c>
      <c r="N386" s="223">
        <v>525279</v>
      </c>
      <c r="O386" s="132" t="s">
        <v>244</v>
      </c>
      <c r="P386" s="132" t="s">
        <v>245</v>
      </c>
      <c r="Q386" s="133">
        <v>1109</v>
      </c>
      <c r="R386" s="132" t="s">
        <v>279</v>
      </c>
      <c r="S386" s="132" t="s">
        <v>11</v>
      </c>
      <c r="T386" s="134">
        <v>42548</v>
      </c>
      <c r="U386" s="172">
        <f t="shared" si="25"/>
        <v>2016</v>
      </c>
      <c r="V386" s="172">
        <f t="shared" si="26"/>
        <v>6</v>
      </c>
      <c r="W386" s="44" t="s">
        <v>280</v>
      </c>
      <c r="X386" t="s">
        <v>892</v>
      </c>
      <c r="Y386">
        <v>1</v>
      </c>
      <c r="AA386" s="13">
        <f t="shared" si="24"/>
        <v>61222</v>
      </c>
      <c r="AE386" s="43"/>
      <c r="AL386" s="87" t="s">
        <v>819</v>
      </c>
      <c r="AM386" s="86">
        <v>2850615</v>
      </c>
    </row>
    <row r="387" spans="13:39" hidden="1">
      <c r="M387" s="131">
        <v>61280</v>
      </c>
      <c r="N387" s="223">
        <v>566286</v>
      </c>
      <c r="O387" s="132" t="s">
        <v>244</v>
      </c>
      <c r="P387" s="132" t="s">
        <v>245</v>
      </c>
      <c r="Q387" s="133">
        <v>199</v>
      </c>
      <c r="R387" s="132" t="s">
        <v>279</v>
      </c>
      <c r="S387" s="132" t="s">
        <v>11</v>
      </c>
      <c r="T387" s="134">
        <v>42548</v>
      </c>
      <c r="U387" s="172">
        <f t="shared" si="25"/>
        <v>2016</v>
      </c>
      <c r="V387" s="172">
        <f t="shared" si="26"/>
        <v>6</v>
      </c>
      <c r="W387" s="44" t="s">
        <v>280</v>
      </c>
      <c r="X387" t="s">
        <v>892</v>
      </c>
      <c r="Y387">
        <v>1</v>
      </c>
      <c r="AA387" s="13">
        <f t="shared" si="24"/>
        <v>61280</v>
      </c>
      <c r="AE387" s="43"/>
      <c r="AL387" s="87" t="s">
        <v>819</v>
      </c>
      <c r="AM387" s="86">
        <v>286487</v>
      </c>
    </row>
    <row r="388" spans="13:39" hidden="1">
      <c r="M388" s="131">
        <v>61300</v>
      </c>
      <c r="N388" s="223">
        <v>490854</v>
      </c>
      <c r="O388" s="132" t="s">
        <v>244</v>
      </c>
      <c r="P388" s="132" t="s">
        <v>245</v>
      </c>
      <c r="Q388" s="133">
        <v>530</v>
      </c>
      <c r="R388" s="132" t="s">
        <v>279</v>
      </c>
      <c r="S388" s="132" t="s">
        <v>11</v>
      </c>
      <c r="T388" s="134">
        <v>42246</v>
      </c>
      <c r="U388" s="172">
        <f t="shared" si="25"/>
        <v>2015</v>
      </c>
      <c r="V388" s="172">
        <f t="shared" si="26"/>
        <v>8</v>
      </c>
      <c r="W388" s="44" t="s">
        <v>291</v>
      </c>
      <c r="X388" t="s">
        <v>892</v>
      </c>
      <c r="Y388">
        <v>1</v>
      </c>
      <c r="AA388" s="13">
        <f t="shared" ref="AA388:AA451" si="27">IF(M388&lt;30000,Y388*100*M388*(1-$L$1)-$L$2*Y388,M388)</f>
        <v>61300</v>
      </c>
      <c r="AE388" s="43"/>
      <c r="AL388" s="87" t="s">
        <v>819</v>
      </c>
      <c r="AM388" s="86">
        <v>29280001</v>
      </c>
    </row>
    <row r="389" spans="13:39" hidden="1">
      <c r="M389" s="131">
        <v>61500</v>
      </c>
      <c r="N389" s="223">
        <v>478174</v>
      </c>
      <c r="O389" s="132" t="s">
        <v>244</v>
      </c>
      <c r="P389" s="132" t="s">
        <v>245</v>
      </c>
      <c r="Q389" s="133">
        <v>1199</v>
      </c>
      <c r="R389" s="132" t="s">
        <v>279</v>
      </c>
      <c r="S389" s="132" t="s">
        <v>11</v>
      </c>
      <c r="T389" s="134">
        <v>42548</v>
      </c>
      <c r="U389" s="172">
        <f t="shared" si="25"/>
        <v>2016</v>
      </c>
      <c r="V389" s="172">
        <f t="shared" si="26"/>
        <v>6</v>
      </c>
      <c r="W389" s="44" t="s">
        <v>280</v>
      </c>
      <c r="X389" t="s">
        <v>892</v>
      </c>
      <c r="Y389">
        <v>1</v>
      </c>
      <c r="AA389" s="13">
        <f t="shared" si="27"/>
        <v>61500</v>
      </c>
      <c r="AE389" s="43"/>
      <c r="AL389" s="87" t="s">
        <v>819</v>
      </c>
      <c r="AM389" s="86">
        <v>2954511</v>
      </c>
    </row>
    <row r="390" spans="13:39" hidden="1">
      <c r="M390" s="131">
        <v>61500</v>
      </c>
      <c r="N390" s="223">
        <v>478174</v>
      </c>
      <c r="O390" s="132" t="s">
        <v>244</v>
      </c>
      <c r="P390" s="132" t="s">
        <v>245</v>
      </c>
      <c r="Q390" s="133">
        <v>1368</v>
      </c>
      <c r="R390" s="132" t="s">
        <v>279</v>
      </c>
      <c r="S390" s="132" t="s">
        <v>11</v>
      </c>
      <c r="T390" s="134">
        <v>42548</v>
      </c>
      <c r="U390" s="172">
        <f t="shared" si="25"/>
        <v>2016</v>
      </c>
      <c r="V390" s="172">
        <f t="shared" si="26"/>
        <v>6</v>
      </c>
      <c r="W390" s="44" t="s">
        <v>280</v>
      </c>
      <c r="X390" t="s">
        <v>892</v>
      </c>
      <c r="Y390">
        <v>1</v>
      </c>
      <c r="AA390" s="13">
        <f t="shared" si="27"/>
        <v>61500</v>
      </c>
      <c r="AE390" s="43"/>
      <c r="AL390" s="87" t="s">
        <v>819</v>
      </c>
      <c r="AM390" s="86">
        <v>29618647</v>
      </c>
    </row>
    <row r="391" spans="13:39" hidden="1">
      <c r="M391" s="131">
        <v>61500</v>
      </c>
      <c r="N391" s="223">
        <v>544074</v>
      </c>
      <c r="O391" s="132" t="s">
        <v>244</v>
      </c>
      <c r="P391" s="132" t="s">
        <v>245</v>
      </c>
      <c r="Q391" s="133">
        <v>1043</v>
      </c>
      <c r="R391" s="132" t="s">
        <v>279</v>
      </c>
      <c r="S391" s="132" t="s">
        <v>11</v>
      </c>
      <c r="T391" s="134">
        <v>42548</v>
      </c>
      <c r="U391" s="172">
        <f t="shared" ref="U391:U454" si="28">YEAR($T391)</f>
        <v>2016</v>
      </c>
      <c r="V391" s="172">
        <f t="shared" ref="V391:V454" si="29">MONTH($T391)</f>
        <v>6</v>
      </c>
      <c r="W391" s="44" t="s">
        <v>280</v>
      </c>
      <c r="X391" t="s">
        <v>892</v>
      </c>
      <c r="Y391">
        <v>1</v>
      </c>
      <c r="AA391" s="13">
        <f t="shared" si="27"/>
        <v>61500</v>
      </c>
      <c r="AE391" s="43"/>
      <c r="AL391" s="87" t="s">
        <v>819</v>
      </c>
      <c r="AM391" s="86">
        <v>29999514</v>
      </c>
    </row>
    <row r="392" spans="13:39" hidden="1">
      <c r="M392" s="131">
        <v>61700</v>
      </c>
      <c r="N392" s="223">
        <v>540656</v>
      </c>
      <c r="O392" s="132" t="s">
        <v>244</v>
      </c>
      <c r="P392" s="132" t="s">
        <v>245</v>
      </c>
      <c r="Q392" s="133">
        <v>1349</v>
      </c>
      <c r="R392" s="132" t="s">
        <v>279</v>
      </c>
      <c r="S392" s="132" t="s">
        <v>11</v>
      </c>
      <c r="T392" s="134">
        <v>42548</v>
      </c>
      <c r="U392" s="172">
        <f t="shared" si="28"/>
        <v>2016</v>
      </c>
      <c r="V392" s="172">
        <f t="shared" si="29"/>
        <v>6</v>
      </c>
      <c r="W392" s="44" t="s">
        <v>280</v>
      </c>
      <c r="X392" t="s">
        <v>892</v>
      </c>
      <c r="Y392">
        <v>1</v>
      </c>
      <c r="AA392" s="13">
        <f t="shared" si="27"/>
        <v>61700</v>
      </c>
      <c r="AE392" s="43"/>
      <c r="AL392" s="87" t="s">
        <v>819</v>
      </c>
      <c r="AM392" s="86">
        <v>30010404</v>
      </c>
    </row>
    <row r="393" spans="13:39" hidden="1">
      <c r="M393" s="131">
        <v>61999</v>
      </c>
      <c r="N393" s="223">
        <v>514458</v>
      </c>
      <c r="O393" s="132" t="s">
        <v>244</v>
      </c>
      <c r="P393" s="132" t="s">
        <v>245</v>
      </c>
      <c r="Q393" s="133">
        <v>1552</v>
      </c>
      <c r="R393" s="132" t="s">
        <v>279</v>
      </c>
      <c r="S393" s="132" t="s">
        <v>11</v>
      </c>
      <c r="T393" s="134">
        <v>42548</v>
      </c>
      <c r="U393" s="172">
        <f t="shared" si="28"/>
        <v>2016</v>
      </c>
      <c r="V393" s="172">
        <f t="shared" si="29"/>
        <v>6</v>
      </c>
      <c r="W393" s="44" t="s">
        <v>280</v>
      </c>
      <c r="X393" t="s">
        <v>892</v>
      </c>
      <c r="Y393">
        <v>1</v>
      </c>
      <c r="AA393" s="13">
        <f t="shared" si="27"/>
        <v>61999</v>
      </c>
      <c r="AE393" s="43"/>
      <c r="AL393" s="87" t="s">
        <v>819</v>
      </c>
      <c r="AM393" s="86">
        <v>3011183</v>
      </c>
    </row>
    <row r="394" spans="13:39" hidden="1">
      <c r="M394" s="131">
        <v>62100</v>
      </c>
      <c r="N394" s="223">
        <v>553187</v>
      </c>
      <c r="O394" s="132" t="s">
        <v>244</v>
      </c>
      <c r="P394" s="132" t="s">
        <v>245</v>
      </c>
      <c r="Q394" s="133">
        <v>1036</v>
      </c>
      <c r="R394" s="132" t="s">
        <v>279</v>
      </c>
      <c r="S394" s="132" t="s">
        <v>11</v>
      </c>
      <c r="T394" s="134">
        <v>42548</v>
      </c>
      <c r="U394" s="172">
        <f t="shared" si="28"/>
        <v>2016</v>
      </c>
      <c r="V394" s="172">
        <f t="shared" si="29"/>
        <v>6</v>
      </c>
      <c r="W394" s="44" t="s">
        <v>280</v>
      </c>
      <c r="X394" t="s">
        <v>892</v>
      </c>
      <c r="Y394">
        <v>1</v>
      </c>
      <c r="AA394" s="13">
        <f t="shared" si="27"/>
        <v>62100</v>
      </c>
      <c r="AE394" s="43"/>
      <c r="AL394" s="87" t="s">
        <v>819</v>
      </c>
      <c r="AM394" s="86">
        <v>3060336</v>
      </c>
    </row>
    <row r="395" spans="13:39" hidden="1">
      <c r="M395" s="131">
        <v>62229</v>
      </c>
      <c r="N395" s="223">
        <v>514458</v>
      </c>
      <c r="O395" s="132" t="s">
        <v>244</v>
      </c>
      <c r="P395" s="132" t="s">
        <v>245</v>
      </c>
      <c r="Q395" s="133">
        <v>1259</v>
      </c>
      <c r="R395" s="132" t="s">
        <v>279</v>
      </c>
      <c r="S395" s="132" t="s">
        <v>11</v>
      </c>
      <c r="T395" s="134">
        <v>42548</v>
      </c>
      <c r="U395" s="172">
        <f t="shared" si="28"/>
        <v>2016</v>
      </c>
      <c r="V395" s="172">
        <f t="shared" si="29"/>
        <v>6</v>
      </c>
      <c r="W395" s="44" t="s">
        <v>280</v>
      </c>
      <c r="X395" t="s">
        <v>892</v>
      </c>
      <c r="Y395">
        <v>1</v>
      </c>
      <c r="AA395" s="13">
        <f t="shared" si="27"/>
        <v>62229</v>
      </c>
      <c r="AE395" s="43"/>
      <c r="AL395" s="87" t="s">
        <v>819</v>
      </c>
      <c r="AM395" s="86">
        <v>30607607</v>
      </c>
    </row>
    <row r="396" spans="13:39" hidden="1">
      <c r="M396" s="131">
        <v>62698</v>
      </c>
      <c r="N396" s="223">
        <v>544643</v>
      </c>
      <c r="O396" s="132" t="s">
        <v>244</v>
      </c>
      <c r="P396" s="132" t="s">
        <v>245</v>
      </c>
      <c r="Q396" s="133">
        <v>1052</v>
      </c>
      <c r="R396" s="132" t="s">
        <v>279</v>
      </c>
      <c r="S396" s="132" t="s">
        <v>11</v>
      </c>
      <c r="T396" s="134">
        <v>42548</v>
      </c>
      <c r="U396" s="172">
        <f t="shared" si="28"/>
        <v>2016</v>
      </c>
      <c r="V396" s="172">
        <f t="shared" si="29"/>
        <v>6</v>
      </c>
      <c r="W396" s="44" t="s">
        <v>280</v>
      </c>
      <c r="X396" t="s">
        <v>892</v>
      </c>
      <c r="Y396">
        <v>1</v>
      </c>
      <c r="AA396" s="13">
        <f t="shared" si="27"/>
        <v>62698</v>
      </c>
      <c r="AE396" s="43"/>
      <c r="AL396" s="87" t="s">
        <v>819</v>
      </c>
      <c r="AM396" s="86">
        <v>3069513</v>
      </c>
    </row>
    <row r="397" spans="13:39" hidden="1">
      <c r="M397" s="131">
        <v>63119</v>
      </c>
      <c r="N397" s="223">
        <v>541796</v>
      </c>
      <c r="O397" s="132" t="s">
        <v>244</v>
      </c>
      <c r="P397" s="132" t="s">
        <v>245</v>
      </c>
      <c r="Q397" s="133">
        <v>1579</v>
      </c>
      <c r="R397" s="132" t="s">
        <v>279</v>
      </c>
      <c r="S397" s="132" t="s">
        <v>11</v>
      </c>
      <c r="T397" s="134">
        <v>42548</v>
      </c>
      <c r="U397" s="172">
        <f t="shared" si="28"/>
        <v>2016</v>
      </c>
      <c r="V397" s="172">
        <f t="shared" si="29"/>
        <v>6</v>
      </c>
      <c r="W397" s="44" t="s">
        <v>280</v>
      </c>
      <c r="X397" t="s">
        <v>892</v>
      </c>
      <c r="Y397">
        <v>1</v>
      </c>
      <c r="AA397" s="13">
        <f t="shared" si="27"/>
        <v>63119</v>
      </c>
      <c r="AE397" s="43"/>
      <c r="AL397" s="87" t="s">
        <v>819</v>
      </c>
      <c r="AM397" s="86">
        <v>3069513</v>
      </c>
    </row>
    <row r="398" spans="13:39" hidden="1">
      <c r="M398" s="131">
        <v>63333</v>
      </c>
      <c r="N398" s="223">
        <v>485899</v>
      </c>
      <c r="O398" s="132" t="s">
        <v>244</v>
      </c>
      <c r="P398" s="132" t="s">
        <v>245</v>
      </c>
      <c r="Q398" s="133">
        <v>512</v>
      </c>
      <c r="R398" s="132" t="s">
        <v>279</v>
      </c>
      <c r="S398" s="132" t="s">
        <v>11</v>
      </c>
      <c r="T398" s="134">
        <v>42246</v>
      </c>
      <c r="U398" s="172">
        <f t="shared" si="28"/>
        <v>2015</v>
      </c>
      <c r="V398" s="172">
        <f t="shared" si="29"/>
        <v>8</v>
      </c>
      <c r="W398" s="44" t="s">
        <v>291</v>
      </c>
      <c r="X398" t="s">
        <v>892</v>
      </c>
      <c r="Y398">
        <v>1</v>
      </c>
      <c r="AA398" s="13">
        <f t="shared" si="27"/>
        <v>63333</v>
      </c>
      <c r="AE398" s="43"/>
      <c r="AL398" s="87" t="s">
        <v>819</v>
      </c>
      <c r="AM398" s="86">
        <v>30761328</v>
      </c>
    </row>
    <row r="399" spans="13:39" hidden="1">
      <c r="M399" s="131">
        <v>63545</v>
      </c>
      <c r="N399" s="223">
        <v>468492</v>
      </c>
      <c r="O399" s="132" t="s">
        <v>244</v>
      </c>
      <c r="P399" s="132" t="s">
        <v>245</v>
      </c>
      <c r="Q399" s="133">
        <v>1153</v>
      </c>
      <c r="R399" s="132" t="s">
        <v>279</v>
      </c>
      <c r="S399" s="132" t="s">
        <v>11</v>
      </c>
      <c r="T399" s="134">
        <v>42548</v>
      </c>
      <c r="U399" s="172">
        <f t="shared" si="28"/>
        <v>2016</v>
      </c>
      <c r="V399" s="172">
        <f t="shared" si="29"/>
        <v>6</v>
      </c>
      <c r="W399" s="44" t="s">
        <v>280</v>
      </c>
      <c r="X399" t="s">
        <v>892</v>
      </c>
      <c r="Y399">
        <v>1</v>
      </c>
      <c r="AA399" s="13">
        <f t="shared" si="27"/>
        <v>63545</v>
      </c>
      <c r="AE399" s="43"/>
      <c r="AL399" s="87" t="s">
        <v>819</v>
      </c>
      <c r="AM399" s="86">
        <v>30768125</v>
      </c>
    </row>
    <row r="400" spans="13:39" hidden="1">
      <c r="M400" s="131">
        <v>63613</v>
      </c>
      <c r="N400" s="223">
        <v>563437</v>
      </c>
      <c r="O400" s="132" t="s">
        <v>244</v>
      </c>
      <c r="P400" s="132" t="s">
        <v>245</v>
      </c>
      <c r="Q400" s="133">
        <v>1065</v>
      </c>
      <c r="R400" s="132" t="s">
        <v>279</v>
      </c>
      <c r="S400" s="132" t="s">
        <v>11</v>
      </c>
      <c r="T400" s="134">
        <v>42548</v>
      </c>
      <c r="U400" s="172">
        <f t="shared" si="28"/>
        <v>2016</v>
      </c>
      <c r="V400" s="172">
        <f t="shared" si="29"/>
        <v>6</v>
      </c>
      <c r="W400" s="44" t="s">
        <v>280</v>
      </c>
      <c r="X400" t="s">
        <v>892</v>
      </c>
      <c r="Y400">
        <v>1</v>
      </c>
      <c r="AA400" s="13">
        <f t="shared" si="27"/>
        <v>63613</v>
      </c>
      <c r="AE400" s="43"/>
      <c r="AL400" s="87" t="s">
        <v>819</v>
      </c>
      <c r="AM400" s="86">
        <v>30912476</v>
      </c>
    </row>
    <row r="401" spans="13:39" hidden="1">
      <c r="M401" s="131">
        <v>63770</v>
      </c>
      <c r="N401" s="223">
        <v>486394</v>
      </c>
      <c r="O401" s="132" t="s">
        <v>244</v>
      </c>
      <c r="P401" s="132" t="s">
        <v>245</v>
      </c>
      <c r="Q401" s="133">
        <v>152</v>
      </c>
      <c r="R401" s="132" t="s">
        <v>279</v>
      </c>
      <c r="S401" s="132" t="s">
        <v>11</v>
      </c>
      <c r="T401" s="134">
        <v>42246</v>
      </c>
      <c r="U401" s="172">
        <f t="shared" si="28"/>
        <v>2015</v>
      </c>
      <c r="V401" s="172">
        <f t="shared" si="29"/>
        <v>8</v>
      </c>
      <c r="W401" s="44" t="s">
        <v>291</v>
      </c>
      <c r="X401" t="s">
        <v>892</v>
      </c>
      <c r="Y401">
        <v>1</v>
      </c>
      <c r="AA401" s="13">
        <f t="shared" si="27"/>
        <v>63770</v>
      </c>
      <c r="AE401" s="43"/>
      <c r="AL401" s="87" t="s">
        <v>819</v>
      </c>
      <c r="AM401" s="86">
        <v>31021479</v>
      </c>
    </row>
    <row r="402" spans="13:39" hidden="1">
      <c r="M402" s="131">
        <v>64150</v>
      </c>
      <c r="N402" s="223">
        <v>492837</v>
      </c>
      <c r="O402" s="132" t="s">
        <v>244</v>
      </c>
      <c r="P402" s="132" t="s">
        <v>245</v>
      </c>
      <c r="Q402" s="133">
        <v>22</v>
      </c>
      <c r="R402" s="132" t="s">
        <v>279</v>
      </c>
      <c r="S402" s="132" t="s">
        <v>11</v>
      </c>
      <c r="T402" s="134">
        <v>42246</v>
      </c>
      <c r="U402" s="172">
        <f t="shared" si="28"/>
        <v>2015</v>
      </c>
      <c r="V402" s="172">
        <f t="shared" si="29"/>
        <v>8</v>
      </c>
      <c r="W402" s="44" t="s">
        <v>291</v>
      </c>
      <c r="X402" t="s">
        <v>892</v>
      </c>
      <c r="Y402">
        <v>1</v>
      </c>
      <c r="AA402" s="13">
        <f t="shared" si="27"/>
        <v>64150</v>
      </c>
      <c r="AE402" s="43"/>
      <c r="AL402" s="87" t="s">
        <v>819</v>
      </c>
      <c r="AM402" s="86">
        <v>314637</v>
      </c>
    </row>
    <row r="403" spans="13:39" hidden="1">
      <c r="M403" s="131">
        <v>64160</v>
      </c>
      <c r="N403" s="223">
        <v>542935</v>
      </c>
      <c r="O403" s="132" t="s">
        <v>244</v>
      </c>
      <c r="P403" s="132" t="s">
        <v>245</v>
      </c>
      <c r="Q403" s="133">
        <v>1219</v>
      </c>
      <c r="R403" s="132" t="s">
        <v>279</v>
      </c>
      <c r="S403" s="132" t="s">
        <v>11</v>
      </c>
      <c r="T403" s="134">
        <v>42548</v>
      </c>
      <c r="U403" s="172">
        <f t="shared" si="28"/>
        <v>2016</v>
      </c>
      <c r="V403" s="172">
        <f t="shared" si="29"/>
        <v>6</v>
      </c>
      <c r="W403" s="44" t="s">
        <v>280</v>
      </c>
      <c r="X403" t="s">
        <v>892</v>
      </c>
      <c r="Y403">
        <v>1</v>
      </c>
      <c r="AA403" s="13">
        <f t="shared" si="27"/>
        <v>64160</v>
      </c>
      <c r="AE403" s="43"/>
      <c r="AL403" s="87" t="s">
        <v>819</v>
      </c>
      <c r="AM403" s="86">
        <v>315012</v>
      </c>
    </row>
    <row r="404" spans="13:39" hidden="1">
      <c r="M404" s="131">
        <v>64160</v>
      </c>
      <c r="N404" s="223">
        <v>542935</v>
      </c>
      <c r="O404" s="132" t="s">
        <v>244</v>
      </c>
      <c r="P404" s="132" t="s">
        <v>245</v>
      </c>
      <c r="Q404" s="133">
        <v>1220</v>
      </c>
      <c r="R404" s="132" t="s">
        <v>279</v>
      </c>
      <c r="S404" s="132" t="s">
        <v>11</v>
      </c>
      <c r="T404" s="134">
        <v>42548</v>
      </c>
      <c r="U404" s="172">
        <f t="shared" si="28"/>
        <v>2016</v>
      </c>
      <c r="V404" s="172">
        <f t="shared" si="29"/>
        <v>6</v>
      </c>
      <c r="W404" s="44" t="s">
        <v>280</v>
      </c>
      <c r="X404" t="s">
        <v>892</v>
      </c>
      <c r="Y404">
        <v>1</v>
      </c>
      <c r="AA404" s="13">
        <f t="shared" si="27"/>
        <v>64160</v>
      </c>
      <c r="AE404" s="43"/>
      <c r="AL404" s="87" t="s">
        <v>819</v>
      </c>
      <c r="AM404" s="86">
        <v>317731</v>
      </c>
    </row>
    <row r="405" spans="13:39" hidden="1">
      <c r="M405" s="131">
        <v>64668</v>
      </c>
      <c r="N405" s="223">
        <v>573689</v>
      </c>
      <c r="O405" s="132" t="s">
        <v>244</v>
      </c>
      <c r="P405" s="132" t="s">
        <v>245</v>
      </c>
      <c r="Q405" s="133">
        <v>1078</v>
      </c>
      <c r="R405" s="132" t="s">
        <v>279</v>
      </c>
      <c r="S405" s="132" t="s">
        <v>11</v>
      </c>
      <c r="T405" s="134">
        <v>42548</v>
      </c>
      <c r="U405" s="172">
        <f t="shared" si="28"/>
        <v>2016</v>
      </c>
      <c r="V405" s="172">
        <f t="shared" si="29"/>
        <v>6</v>
      </c>
      <c r="W405" s="44" t="s">
        <v>280</v>
      </c>
      <c r="X405" t="s">
        <v>892</v>
      </c>
      <c r="Y405">
        <v>1</v>
      </c>
      <c r="AA405" s="13">
        <f t="shared" si="27"/>
        <v>64668</v>
      </c>
      <c r="AE405" s="43"/>
      <c r="AL405" s="87" t="s">
        <v>819</v>
      </c>
      <c r="AM405" s="86">
        <v>31802035</v>
      </c>
    </row>
    <row r="406" spans="13:39" hidden="1">
      <c r="M406" s="131">
        <v>64875</v>
      </c>
      <c r="N406" s="223">
        <v>480447</v>
      </c>
      <c r="O406" s="132" t="s">
        <v>244</v>
      </c>
      <c r="P406" s="132" t="s">
        <v>245</v>
      </c>
      <c r="Q406" s="133">
        <v>180</v>
      </c>
      <c r="R406" s="132" t="s">
        <v>279</v>
      </c>
      <c r="S406" s="132" t="s">
        <v>11</v>
      </c>
      <c r="T406" s="134">
        <v>42246</v>
      </c>
      <c r="U406" s="172">
        <f t="shared" si="28"/>
        <v>2015</v>
      </c>
      <c r="V406" s="172">
        <f t="shared" si="29"/>
        <v>8</v>
      </c>
      <c r="W406" s="44" t="s">
        <v>291</v>
      </c>
      <c r="X406" t="s">
        <v>892</v>
      </c>
      <c r="Y406">
        <v>1</v>
      </c>
      <c r="AA406" s="13">
        <f t="shared" si="27"/>
        <v>64875</v>
      </c>
      <c r="AE406" s="43"/>
      <c r="AL406" s="87" t="s">
        <v>819</v>
      </c>
      <c r="AM406" s="86">
        <v>31811018</v>
      </c>
    </row>
    <row r="407" spans="13:39" hidden="1">
      <c r="M407" s="131">
        <v>65000</v>
      </c>
      <c r="N407" s="223">
        <v>573689</v>
      </c>
      <c r="O407" s="132" t="s">
        <v>244</v>
      </c>
      <c r="P407" s="132" t="s">
        <v>245</v>
      </c>
      <c r="Q407" s="133">
        <v>1070</v>
      </c>
      <c r="R407" s="132" t="s">
        <v>279</v>
      </c>
      <c r="S407" s="132" t="s">
        <v>11</v>
      </c>
      <c r="T407" s="134">
        <v>42548</v>
      </c>
      <c r="U407" s="172">
        <f t="shared" si="28"/>
        <v>2016</v>
      </c>
      <c r="V407" s="172">
        <f t="shared" si="29"/>
        <v>6</v>
      </c>
      <c r="W407" s="44" t="s">
        <v>280</v>
      </c>
      <c r="X407" t="s">
        <v>892</v>
      </c>
      <c r="Y407">
        <v>1</v>
      </c>
      <c r="AA407" s="13">
        <f t="shared" si="27"/>
        <v>65000</v>
      </c>
      <c r="AE407" s="43"/>
      <c r="AL407" s="87" t="s">
        <v>819</v>
      </c>
      <c r="AM407" s="86">
        <v>31973397</v>
      </c>
    </row>
    <row r="408" spans="13:39" hidden="1">
      <c r="M408" s="131">
        <v>65018</v>
      </c>
      <c r="N408" s="223">
        <v>537239</v>
      </c>
      <c r="O408" s="132" t="s">
        <v>244</v>
      </c>
      <c r="P408" s="132" t="s">
        <v>245</v>
      </c>
      <c r="Q408" s="133">
        <v>1090</v>
      </c>
      <c r="R408" s="132" t="s">
        <v>279</v>
      </c>
      <c r="S408" s="132" t="s">
        <v>11</v>
      </c>
      <c r="T408" s="134">
        <v>42548</v>
      </c>
      <c r="U408" s="172">
        <f t="shared" si="28"/>
        <v>2016</v>
      </c>
      <c r="V408" s="172">
        <f t="shared" si="29"/>
        <v>6</v>
      </c>
      <c r="W408" s="44" t="s">
        <v>280</v>
      </c>
      <c r="X408" t="s">
        <v>892</v>
      </c>
      <c r="Y408">
        <v>1</v>
      </c>
      <c r="AA408" s="13">
        <f t="shared" si="27"/>
        <v>65018</v>
      </c>
      <c r="AE408" s="43"/>
      <c r="AL408" s="87" t="s">
        <v>819</v>
      </c>
      <c r="AM408" s="86">
        <v>32055809</v>
      </c>
    </row>
    <row r="409" spans="13:39" hidden="1">
      <c r="M409" s="131">
        <v>65150</v>
      </c>
      <c r="N409" s="223">
        <v>536101</v>
      </c>
      <c r="O409" s="132" t="s">
        <v>244</v>
      </c>
      <c r="P409" s="132" t="s">
        <v>245</v>
      </c>
      <c r="Q409" s="133">
        <v>1334</v>
      </c>
      <c r="R409" s="132" t="s">
        <v>279</v>
      </c>
      <c r="S409" s="132" t="s">
        <v>11</v>
      </c>
      <c r="T409" s="134">
        <v>42548</v>
      </c>
      <c r="U409" s="172">
        <f t="shared" si="28"/>
        <v>2016</v>
      </c>
      <c r="V409" s="172">
        <f t="shared" si="29"/>
        <v>6</v>
      </c>
      <c r="W409" s="44" t="s">
        <v>280</v>
      </c>
      <c r="X409" t="s">
        <v>892</v>
      </c>
      <c r="Y409">
        <v>1</v>
      </c>
      <c r="AA409" s="13">
        <f t="shared" si="27"/>
        <v>65150</v>
      </c>
      <c r="AE409" s="43"/>
      <c r="AL409" s="87" t="s">
        <v>819</v>
      </c>
      <c r="AM409" s="86">
        <v>321858</v>
      </c>
    </row>
    <row r="410" spans="13:39" hidden="1">
      <c r="M410" s="131">
        <v>65222</v>
      </c>
      <c r="N410" s="223">
        <v>568563</v>
      </c>
      <c r="O410" s="132" t="s">
        <v>244</v>
      </c>
      <c r="P410" s="132" t="s">
        <v>245</v>
      </c>
      <c r="Q410" s="133">
        <v>1346</v>
      </c>
      <c r="R410" s="132" t="s">
        <v>279</v>
      </c>
      <c r="S410" s="132" t="s">
        <v>11</v>
      </c>
      <c r="T410" s="134">
        <v>42548</v>
      </c>
      <c r="U410" s="172">
        <f t="shared" si="28"/>
        <v>2016</v>
      </c>
      <c r="V410" s="172">
        <f t="shared" si="29"/>
        <v>6</v>
      </c>
      <c r="W410" s="44" t="s">
        <v>280</v>
      </c>
      <c r="X410" t="s">
        <v>892</v>
      </c>
      <c r="Y410">
        <v>1</v>
      </c>
      <c r="AA410" s="13">
        <f t="shared" si="27"/>
        <v>65222</v>
      </c>
      <c r="AE410" s="43"/>
      <c r="AL410" s="87" t="s">
        <v>819</v>
      </c>
      <c r="AM410" s="86">
        <v>321858</v>
      </c>
    </row>
    <row r="411" spans="13:39" hidden="1">
      <c r="M411" s="131">
        <v>65300</v>
      </c>
      <c r="N411" s="223">
        <v>526358</v>
      </c>
      <c r="O411" s="132" t="s">
        <v>244</v>
      </c>
      <c r="P411" s="132" t="s">
        <v>245</v>
      </c>
      <c r="Q411" s="133">
        <v>665</v>
      </c>
      <c r="R411" s="132" t="s">
        <v>279</v>
      </c>
      <c r="S411" s="132" t="s">
        <v>11</v>
      </c>
      <c r="T411" s="134">
        <v>42246</v>
      </c>
      <c r="U411" s="172">
        <f t="shared" si="28"/>
        <v>2015</v>
      </c>
      <c r="V411" s="172">
        <f t="shared" si="29"/>
        <v>8</v>
      </c>
      <c r="W411" s="44" t="s">
        <v>291</v>
      </c>
      <c r="X411" t="s">
        <v>892</v>
      </c>
      <c r="Y411">
        <v>1</v>
      </c>
      <c r="AA411" s="13">
        <f t="shared" si="27"/>
        <v>65300</v>
      </c>
      <c r="AE411" s="43"/>
      <c r="AL411" s="87" t="s">
        <v>819</v>
      </c>
      <c r="AM411" s="86">
        <v>321858</v>
      </c>
    </row>
    <row r="412" spans="13:39" hidden="1">
      <c r="M412" s="131">
        <v>65347</v>
      </c>
      <c r="N412" s="223">
        <v>486890</v>
      </c>
      <c r="O412" s="132" t="s">
        <v>244</v>
      </c>
      <c r="P412" s="132" t="s">
        <v>245</v>
      </c>
      <c r="Q412" s="133">
        <v>348</v>
      </c>
      <c r="R412" s="132" t="s">
        <v>279</v>
      </c>
      <c r="S412" s="132" t="s">
        <v>11</v>
      </c>
      <c r="T412" s="134">
        <v>42246</v>
      </c>
      <c r="U412" s="172">
        <f t="shared" si="28"/>
        <v>2015</v>
      </c>
      <c r="V412" s="172">
        <f t="shared" si="29"/>
        <v>8</v>
      </c>
      <c r="W412" s="44" t="s">
        <v>291</v>
      </c>
      <c r="X412" t="s">
        <v>892</v>
      </c>
      <c r="Y412">
        <v>1</v>
      </c>
      <c r="AA412" s="13">
        <f t="shared" si="27"/>
        <v>65347</v>
      </c>
      <c r="AE412" s="43"/>
      <c r="AL412" s="87" t="s">
        <v>819</v>
      </c>
      <c r="AM412" s="86">
        <v>321858</v>
      </c>
    </row>
    <row r="413" spans="13:39" hidden="1">
      <c r="M413" s="131">
        <v>65431</v>
      </c>
      <c r="N413" s="223">
        <v>578246</v>
      </c>
      <c r="O413" s="132" t="s">
        <v>244</v>
      </c>
      <c r="P413" s="132" t="s">
        <v>245</v>
      </c>
      <c r="Q413" s="133">
        <v>1482</v>
      </c>
      <c r="R413" s="132" t="s">
        <v>279</v>
      </c>
      <c r="S413" s="132" t="s">
        <v>11</v>
      </c>
      <c r="T413" s="134">
        <v>42548</v>
      </c>
      <c r="U413" s="172">
        <f t="shared" si="28"/>
        <v>2016</v>
      </c>
      <c r="V413" s="172">
        <f t="shared" si="29"/>
        <v>6</v>
      </c>
      <c r="W413" s="44" t="s">
        <v>280</v>
      </c>
      <c r="X413" t="s">
        <v>892</v>
      </c>
      <c r="Y413">
        <v>1</v>
      </c>
      <c r="AA413" s="13">
        <f t="shared" si="27"/>
        <v>65431</v>
      </c>
      <c r="AE413" s="43"/>
      <c r="AL413" s="87" t="s">
        <v>819</v>
      </c>
      <c r="AM413" s="86">
        <v>321858</v>
      </c>
    </row>
    <row r="414" spans="13:39" hidden="1">
      <c r="M414" s="131">
        <v>65500</v>
      </c>
      <c r="N414" s="223">
        <v>492837</v>
      </c>
      <c r="O414" s="132" t="s">
        <v>244</v>
      </c>
      <c r="P414" s="132" t="s">
        <v>245</v>
      </c>
      <c r="Q414" s="133">
        <v>297</v>
      </c>
      <c r="R414" s="132" t="s">
        <v>279</v>
      </c>
      <c r="S414" s="132" t="s">
        <v>11</v>
      </c>
      <c r="T414" s="134">
        <v>42246</v>
      </c>
      <c r="U414" s="172">
        <f t="shared" si="28"/>
        <v>2015</v>
      </c>
      <c r="V414" s="172">
        <f t="shared" si="29"/>
        <v>8</v>
      </c>
      <c r="W414" s="44" t="s">
        <v>291</v>
      </c>
      <c r="X414" t="s">
        <v>892</v>
      </c>
      <c r="Y414">
        <v>1</v>
      </c>
      <c r="AA414" s="13">
        <f t="shared" si="27"/>
        <v>65500</v>
      </c>
      <c r="AE414" s="43"/>
      <c r="AL414" s="87" t="s">
        <v>819</v>
      </c>
      <c r="AM414" s="86">
        <v>321858</v>
      </c>
    </row>
    <row r="415" spans="13:39" hidden="1">
      <c r="M415" s="131">
        <v>66000</v>
      </c>
      <c r="N415" s="223">
        <v>492342</v>
      </c>
      <c r="O415" s="132" t="s">
        <v>244</v>
      </c>
      <c r="P415" s="132" t="s">
        <v>245</v>
      </c>
      <c r="Q415" s="133">
        <v>340</v>
      </c>
      <c r="R415" s="132" t="s">
        <v>279</v>
      </c>
      <c r="S415" s="132" t="s">
        <v>11</v>
      </c>
      <c r="T415" s="134">
        <v>42246</v>
      </c>
      <c r="U415" s="172">
        <f t="shared" si="28"/>
        <v>2015</v>
      </c>
      <c r="V415" s="172">
        <f t="shared" si="29"/>
        <v>8</v>
      </c>
      <c r="W415" s="44" t="s">
        <v>291</v>
      </c>
      <c r="X415" t="s">
        <v>892</v>
      </c>
      <c r="Y415">
        <v>1</v>
      </c>
      <c r="AA415" s="13">
        <f t="shared" si="27"/>
        <v>66000</v>
      </c>
      <c r="AE415" s="43"/>
      <c r="AL415" s="87" t="s">
        <v>819</v>
      </c>
      <c r="AM415" s="86">
        <v>321858</v>
      </c>
    </row>
    <row r="416" spans="13:39" hidden="1">
      <c r="M416" s="131">
        <v>66101</v>
      </c>
      <c r="N416" s="223">
        <v>548630</v>
      </c>
      <c r="O416" s="132" t="s">
        <v>244</v>
      </c>
      <c r="P416" s="132" t="s">
        <v>245</v>
      </c>
      <c r="Q416" s="133">
        <v>1251</v>
      </c>
      <c r="R416" s="132" t="s">
        <v>279</v>
      </c>
      <c r="S416" s="132" t="s">
        <v>11</v>
      </c>
      <c r="T416" s="134">
        <v>42548</v>
      </c>
      <c r="U416" s="172">
        <f t="shared" si="28"/>
        <v>2016</v>
      </c>
      <c r="V416" s="172">
        <f t="shared" si="29"/>
        <v>6</v>
      </c>
      <c r="W416" s="44" t="s">
        <v>280</v>
      </c>
      <c r="X416" t="s">
        <v>892</v>
      </c>
      <c r="Y416">
        <v>1</v>
      </c>
      <c r="AA416" s="13">
        <f t="shared" si="27"/>
        <v>66101</v>
      </c>
      <c r="AE416" s="43"/>
      <c r="AL416" s="87" t="s">
        <v>819</v>
      </c>
      <c r="AM416" s="86">
        <v>321858</v>
      </c>
    </row>
    <row r="417" spans="13:39" hidden="1">
      <c r="M417" s="131">
        <v>66102</v>
      </c>
      <c r="N417" s="223">
        <v>481934</v>
      </c>
      <c r="O417" s="132" t="s">
        <v>244</v>
      </c>
      <c r="P417" s="132" t="s">
        <v>245</v>
      </c>
      <c r="Q417" s="133">
        <v>61</v>
      </c>
      <c r="R417" s="132" t="s">
        <v>279</v>
      </c>
      <c r="S417" s="132" t="s">
        <v>11</v>
      </c>
      <c r="T417" s="134">
        <v>42246</v>
      </c>
      <c r="U417" s="172">
        <f t="shared" si="28"/>
        <v>2015</v>
      </c>
      <c r="V417" s="172">
        <f t="shared" si="29"/>
        <v>8</v>
      </c>
      <c r="W417" s="44" t="s">
        <v>291</v>
      </c>
      <c r="X417" t="s">
        <v>892</v>
      </c>
      <c r="Y417">
        <v>1</v>
      </c>
      <c r="AA417" s="13">
        <f t="shared" si="27"/>
        <v>66102</v>
      </c>
      <c r="AE417" s="43"/>
      <c r="AL417" s="87" t="s">
        <v>819</v>
      </c>
      <c r="AM417" s="86">
        <v>321858</v>
      </c>
    </row>
    <row r="418" spans="13:39" hidden="1">
      <c r="M418" s="131">
        <v>66300</v>
      </c>
      <c r="N418" s="223">
        <v>488377</v>
      </c>
      <c r="O418" s="132" t="s">
        <v>244</v>
      </c>
      <c r="P418" s="132" t="s">
        <v>245</v>
      </c>
      <c r="Q418" s="133">
        <v>5</v>
      </c>
      <c r="R418" s="132" t="s">
        <v>279</v>
      </c>
      <c r="S418" s="132" t="s">
        <v>11</v>
      </c>
      <c r="T418" s="134">
        <v>42246</v>
      </c>
      <c r="U418" s="172">
        <f t="shared" si="28"/>
        <v>2015</v>
      </c>
      <c r="V418" s="172">
        <f t="shared" si="29"/>
        <v>8</v>
      </c>
      <c r="W418" s="44" t="s">
        <v>291</v>
      </c>
      <c r="X418" t="s">
        <v>892</v>
      </c>
      <c r="Y418">
        <v>1</v>
      </c>
      <c r="AA418" s="13">
        <f t="shared" si="27"/>
        <v>66300</v>
      </c>
      <c r="AE418" s="43"/>
      <c r="AL418" s="87" t="s">
        <v>819</v>
      </c>
      <c r="AM418" s="86">
        <v>321858</v>
      </c>
    </row>
    <row r="419" spans="13:39" hidden="1">
      <c r="M419" s="131">
        <v>66555</v>
      </c>
      <c r="N419" s="223">
        <v>489368</v>
      </c>
      <c r="O419" s="132" t="s">
        <v>244</v>
      </c>
      <c r="P419" s="132" t="s">
        <v>245</v>
      </c>
      <c r="Q419" s="133">
        <v>202</v>
      </c>
      <c r="R419" s="132" t="s">
        <v>279</v>
      </c>
      <c r="S419" s="132" t="s">
        <v>11</v>
      </c>
      <c r="T419" s="134">
        <v>42246</v>
      </c>
      <c r="U419" s="172">
        <f t="shared" si="28"/>
        <v>2015</v>
      </c>
      <c r="V419" s="172">
        <f t="shared" si="29"/>
        <v>8</v>
      </c>
      <c r="W419" s="44" t="s">
        <v>291</v>
      </c>
      <c r="X419" t="s">
        <v>892</v>
      </c>
      <c r="Y419">
        <v>1</v>
      </c>
      <c r="AA419" s="13">
        <f t="shared" si="27"/>
        <v>66555</v>
      </c>
      <c r="AE419" s="43"/>
      <c r="AL419" s="87" t="s">
        <v>819</v>
      </c>
      <c r="AM419" s="86">
        <v>321858</v>
      </c>
    </row>
    <row r="420" spans="13:39" hidden="1">
      <c r="M420" s="131">
        <v>66555</v>
      </c>
      <c r="N420" s="223">
        <v>489368</v>
      </c>
      <c r="O420" s="132" t="s">
        <v>244</v>
      </c>
      <c r="P420" s="132" t="s">
        <v>245</v>
      </c>
      <c r="Q420" s="133">
        <v>203</v>
      </c>
      <c r="R420" s="132" t="s">
        <v>279</v>
      </c>
      <c r="S420" s="132" t="s">
        <v>11</v>
      </c>
      <c r="T420" s="134">
        <v>42246</v>
      </c>
      <c r="U420" s="172">
        <f t="shared" si="28"/>
        <v>2015</v>
      </c>
      <c r="V420" s="172">
        <f t="shared" si="29"/>
        <v>8</v>
      </c>
      <c r="W420" s="44" t="s">
        <v>291</v>
      </c>
      <c r="X420" t="s">
        <v>892</v>
      </c>
      <c r="Y420">
        <v>1</v>
      </c>
      <c r="AA420" s="13">
        <f t="shared" si="27"/>
        <v>66555</v>
      </c>
      <c r="AE420" s="43"/>
      <c r="AL420" s="87" t="s">
        <v>819</v>
      </c>
      <c r="AM420" s="86">
        <v>321858</v>
      </c>
    </row>
    <row r="421" spans="13:39" hidden="1">
      <c r="M421" s="131">
        <v>66592</v>
      </c>
      <c r="N421" s="223">
        <v>470201</v>
      </c>
      <c r="O421" s="132" t="s">
        <v>244</v>
      </c>
      <c r="P421" s="132" t="s">
        <v>245</v>
      </c>
      <c r="Q421" s="133">
        <v>1173</v>
      </c>
      <c r="R421" s="132" t="s">
        <v>279</v>
      </c>
      <c r="S421" s="132" t="s">
        <v>11</v>
      </c>
      <c r="T421" s="134">
        <v>42548</v>
      </c>
      <c r="U421" s="172">
        <f t="shared" si="28"/>
        <v>2016</v>
      </c>
      <c r="V421" s="172">
        <f t="shared" si="29"/>
        <v>6</v>
      </c>
      <c r="W421" s="44" t="s">
        <v>280</v>
      </c>
      <c r="X421" t="s">
        <v>892</v>
      </c>
      <c r="Y421">
        <v>1</v>
      </c>
      <c r="AA421" s="13">
        <f t="shared" si="27"/>
        <v>66592</v>
      </c>
      <c r="AE421" s="43"/>
      <c r="AL421" s="87" t="s">
        <v>819</v>
      </c>
      <c r="AM421" s="86">
        <v>321858</v>
      </c>
    </row>
    <row r="422" spans="13:39" hidden="1">
      <c r="M422" s="131">
        <v>66592</v>
      </c>
      <c r="N422" s="223">
        <v>470201</v>
      </c>
      <c r="O422" s="132" t="s">
        <v>244</v>
      </c>
      <c r="P422" s="132" t="s">
        <v>245</v>
      </c>
      <c r="Q422" s="133">
        <v>1174</v>
      </c>
      <c r="R422" s="132" t="s">
        <v>279</v>
      </c>
      <c r="S422" s="132" t="s">
        <v>11</v>
      </c>
      <c r="T422" s="134">
        <v>42548</v>
      </c>
      <c r="U422" s="172">
        <f t="shared" si="28"/>
        <v>2016</v>
      </c>
      <c r="V422" s="172">
        <f t="shared" si="29"/>
        <v>6</v>
      </c>
      <c r="W422" s="44" t="s">
        <v>280</v>
      </c>
      <c r="X422" t="s">
        <v>892</v>
      </c>
      <c r="Y422">
        <v>1</v>
      </c>
      <c r="AA422" s="13">
        <f t="shared" si="27"/>
        <v>66592</v>
      </c>
      <c r="AE422" s="43"/>
      <c r="AL422" s="87" t="s">
        <v>819</v>
      </c>
      <c r="AM422" s="86">
        <v>321858</v>
      </c>
    </row>
    <row r="423" spans="13:39" hidden="1">
      <c r="M423" s="131">
        <v>66620</v>
      </c>
      <c r="N423" s="223">
        <v>488377</v>
      </c>
      <c r="O423" s="132" t="s">
        <v>244</v>
      </c>
      <c r="P423" s="132" t="s">
        <v>245</v>
      </c>
      <c r="Q423" s="133">
        <v>231</v>
      </c>
      <c r="R423" s="132" t="s">
        <v>279</v>
      </c>
      <c r="S423" s="132" t="s">
        <v>11</v>
      </c>
      <c r="T423" s="134">
        <v>42246</v>
      </c>
      <c r="U423" s="172">
        <f t="shared" si="28"/>
        <v>2015</v>
      </c>
      <c r="V423" s="172">
        <f t="shared" si="29"/>
        <v>8</v>
      </c>
      <c r="W423" s="44" t="s">
        <v>291</v>
      </c>
      <c r="X423" t="s">
        <v>892</v>
      </c>
      <c r="Y423">
        <v>1</v>
      </c>
      <c r="AA423" s="13">
        <f t="shared" si="27"/>
        <v>66620</v>
      </c>
      <c r="AE423" s="43"/>
      <c r="AL423" s="87" t="s">
        <v>819</v>
      </c>
      <c r="AM423" s="86">
        <v>321858</v>
      </c>
    </row>
    <row r="424" spans="13:39" hidden="1">
      <c r="M424" s="131">
        <v>66666</v>
      </c>
      <c r="N424" s="223">
        <v>486147</v>
      </c>
      <c r="O424" s="132" t="s">
        <v>244</v>
      </c>
      <c r="P424" s="132" t="s">
        <v>245</v>
      </c>
      <c r="Q424" s="133">
        <v>1439</v>
      </c>
      <c r="R424" s="132" t="s">
        <v>279</v>
      </c>
      <c r="S424" s="132" t="s">
        <v>11</v>
      </c>
      <c r="T424" s="134">
        <v>42548</v>
      </c>
      <c r="U424" s="172">
        <f t="shared" si="28"/>
        <v>2016</v>
      </c>
      <c r="V424" s="172">
        <f t="shared" si="29"/>
        <v>6</v>
      </c>
      <c r="W424" s="44" t="s">
        <v>280</v>
      </c>
      <c r="X424" t="s">
        <v>892</v>
      </c>
      <c r="Y424">
        <v>1</v>
      </c>
      <c r="AA424" s="13">
        <f t="shared" si="27"/>
        <v>66666</v>
      </c>
      <c r="AE424" s="43"/>
      <c r="AL424" s="87" t="s">
        <v>819</v>
      </c>
      <c r="AM424" s="86">
        <v>321858</v>
      </c>
    </row>
    <row r="425" spans="13:39" hidden="1">
      <c r="M425" s="131">
        <v>66689</v>
      </c>
      <c r="N425" s="223">
        <v>538948</v>
      </c>
      <c r="O425" s="132" t="s">
        <v>244</v>
      </c>
      <c r="P425" s="132" t="s">
        <v>245</v>
      </c>
      <c r="Q425" s="133">
        <v>1089</v>
      </c>
      <c r="R425" s="132" t="s">
        <v>279</v>
      </c>
      <c r="S425" s="132" t="s">
        <v>11</v>
      </c>
      <c r="T425" s="134">
        <v>42548</v>
      </c>
      <c r="U425" s="172">
        <f t="shared" si="28"/>
        <v>2016</v>
      </c>
      <c r="V425" s="172">
        <f t="shared" si="29"/>
        <v>6</v>
      </c>
      <c r="W425" s="44" t="s">
        <v>280</v>
      </c>
      <c r="X425" t="s">
        <v>892</v>
      </c>
      <c r="Y425">
        <v>1</v>
      </c>
      <c r="AA425" s="13">
        <f t="shared" si="27"/>
        <v>66689</v>
      </c>
      <c r="AE425" s="43"/>
      <c r="AL425" s="87" t="s">
        <v>819</v>
      </c>
      <c r="AM425" s="86">
        <v>321858</v>
      </c>
    </row>
    <row r="426" spans="13:39" hidden="1">
      <c r="M426" s="131">
        <v>66700</v>
      </c>
      <c r="N426" s="223">
        <v>483300</v>
      </c>
      <c r="O426" s="132" t="s">
        <v>244</v>
      </c>
      <c r="P426" s="132" t="s">
        <v>245</v>
      </c>
      <c r="Q426" s="133">
        <v>1589</v>
      </c>
      <c r="R426" s="132" t="s">
        <v>279</v>
      </c>
      <c r="S426" s="132" t="s">
        <v>11</v>
      </c>
      <c r="T426" s="134">
        <v>42548</v>
      </c>
      <c r="U426" s="172">
        <f t="shared" si="28"/>
        <v>2016</v>
      </c>
      <c r="V426" s="172">
        <f t="shared" si="29"/>
        <v>6</v>
      </c>
      <c r="W426" s="44" t="s">
        <v>280</v>
      </c>
      <c r="X426" t="s">
        <v>892</v>
      </c>
      <c r="Y426">
        <v>1</v>
      </c>
      <c r="AA426" s="13">
        <f t="shared" si="27"/>
        <v>66700</v>
      </c>
      <c r="AE426" s="43"/>
      <c r="AL426" s="87" t="s">
        <v>819</v>
      </c>
      <c r="AM426" s="86">
        <v>321858</v>
      </c>
    </row>
    <row r="427" spans="13:39" hidden="1">
      <c r="M427" s="131">
        <v>66701</v>
      </c>
      <c r="N427" s="223">
        <v>491350</v>
      </c>
      <c r="O427" s="132" t="s">
        <v>244</v>
      </c>
      <c r="P427" s="132" t="s">
        <v>245</v>
      </c>
      <c r="Q427" s="133">
        <v>295</v>
      </c>
      <c r="R427" s="132" t="s">
        <v>279</v>
      </c>
      <c r="S427" s="132" t="s">
        <v>11</v>
      </c>
      <c r="T427" s="134">
        <v>42246</v>
      </c>
      <c r="U427" s="172">
        <f t="shared" si="28"/>
        <v>2015</v>
      </c>
      <c r="V427" s="172">
        <f t="shared" si="29"/>
        <v>8</v>
      </c>
      <c r="W427" s="44" t="s">
        <v>291</v>
      </c>
      <c r="X427" t="s">
        <v>892</v>
      </c>
      <c r="Y427">
        <v>1</v>
      </c>
      <c r="AA427" s="13">
        <f t="shared" si="27"/>
        <v>66701</v>
      </c>
      <c r="AE427" s="43"/>
      <c r="AL427" s="87" t="s">
        <v>819</v>
      </c>
      <c r="AM427" s="86">
        <v>321858</v>
      </c>
    </row>
    <row r="428" spans="13:39" hidden="1">
      <c r="M428" s="131">
        <v>66797</v>
      </c>
      <c r="N428" s="223">
        <v>536101</v>
      </c>
      <c r="O428" s="132" t="s">
        <v>244</v>
      </c>
      <c r="P428" s="132" t="s">
        <v>245</v>
      </c>
      <c r="Q428" s="133">
        <v>1087</v>
      </c>
      <c r="R428" s="132" t="s">
        <v>279</v>
      </c>
      <c r="S428" s="132" t="s">
        <v>11</v>
      </c>
      <c r="T428" s="134">
        <v>42548</v>
      </c>
      <c r="U428" s="172">
        <f t="shared" si="28"/>
        <v>2016</v>
      </c>
      <c r="V428" s="172">
        <f t="shared" si="29"/>
        <v>6</v>
      </c>
      <c r="W428" s="44" t="s">
        <v>280</v>
      </c>
      <c r="X428" t="s">
        <v>892</v>
      </c>
      <c r="Y428">
        <v>1</v>
      </c>
      <c r="AA428" s="13">
        <f t="shared" si="27"/>
        <v>66797</v>
      </c>
      <c r="AE428" s="43"/>
      <c r="AL428" s="87" t="s">
        <v>819</v>
      </c>
      <c r="AM428" s="86">
        <v>321858</v>
      </c>
    </row>
    <row r="429" spans="13:39" hidden="1">
      <c r="M429" s="131">
        <v>66820</v>
      </c>
      <c r="N429" s="223">
        <v>621832</v>
      </c>
      <c r="O429" s="132" t="s">
        <v>244</v>
      </c>
      <c r="P429" s="132" t="s">
        <v>245</v>
      </c>
      <c r="Q429" s="133">
        <v>1387</v>
      </c>
      <c r="R429" s="132" t="s">
        <v>279</v>
      </c>
      <c r="S429" s="132" t="s">
        <v>11</v>
      </c>
      <c r="T429" s="134">
        <v>42548</v>
      </c>
      <c r="U429" s="172">
        <f t="shared" si="28"/>
        <v>2016</v>
      </c>
      <c r="V429" s="172">
        <f t="shared" si="29"/>
        <v>6</v>
      </c>
      <c r="W429" s="44" t="s">
        <v>280</v>
      </c>
      <c r="X429" t="s">
        <v>892</v>
      </c>
      <c r="Y429">
        <v>1</v>
      </c>
      <c r="AA429" s="13">
        <f t="shared" si="27"/>
        <v>66820</v>
      </c>
      <c r="AE429" s="43"/>
      <c r="AL429" s="87" t="s">
        <v>819</v>
      </c>
      <c r="AM429" s="86">
        <v>321858</v>
      </c>
    </row>
    <row r="430" spans="13:39" hidden="1">
      <c r="M430" s="131">
        <v>67192</v>
      </c>
      <c r="N430" s="223">
        <v>542935</v>
      </c>
      <c r="O430" s="132" t="s">
        <v>244</v>
      </c>
      <c r="P430" s="132" t="s">
        <v>245</v>
      </c>
      <c r="Q430" s="133">
        <v>1221</v>
      </c>
      <c r="R430" s="132" t="s">
        <v>279</v>
      </c>
      <c r="S430" s="132" t="s">
        <v>11</v>
      </c>
      <c r="T430" s="134">
        <v>42548</v>
      </c>
      <c r="U430" s="172">
        <f t="shared" si="28"/>
        <v>2016</v>
      </c>
      <c r="V430" s="172">
        <f t="shared" si="29"/>
        <v>6</v>
      </c>
      <c r="W430" s="44" t="s">
        <v>280</v>
      </c>
      <c r="X430" t="s">
        <v>892</v>
      </c>
      <c r="Y430">
        <v>1</v>
      </c>
      <c r="AA430" s="13">
        <f t="shared" si="27"/>
        <v>67192</v>
      </c>
      <c r="AE430" s="43"/>
      <c r="AL430" s="87" t="s">
        <v>819</v>
      </c>
      <c r="AM430" s="86">
        <v>321858</v>
      </c>
    </row>
    <row r="431" spans="13:39" hidden="1">
      <c r="M431" s="131">
        <v>67199</v>
      </c>
      <c r="N431" s="223">
        <v>545213</v>
      </c>
      <c r="O431" s="132" t="s">
        <v>244</v>
      </c>
      <c r="P431" s="132" t="s">
        <v>245</v>
      </c>
      <c r="Q431" s="133">
        <v>1213</v>
      </c>
      <c r="R431" s="132" t="s">
        <v>279</v>
      </c>
      <c r="S431" s="132" t="s">
        <v>11</v>
      </c>
      <c r="T431" s="134">
        <v>42548</v>
      </c>
      <c r="U431" s="172">
        <f t="shared" si="28"/>
        <v>2016</v>
      </c>
      <c r="V431" s="172">
        <f t="shared" si="29"/>
        <v>6</v>
      </c>
      <c r="W431" s="44" t="s">
        <v>280</v>
      </c>
      <c r="X431" t="s">
        <v>892</v>
      </c>
      <c r="Y431">
        <v>1</v>
      </c>
      <c r="AA431" s="13">
        <f t="shared" si="27"/>
        <v>67199</v>
      </c>
      <c r="AE431" s="43"/>
      <c r="AL431" s="87" t="s">
        <v>819</v>
      </c>
      <c r="AM431" s="86">
        <v>321858</v>
      </c>
    </row>
    <row r="432" spans="13:39" hidden="1">
      <c r="M432" s="131">
        <v>67269</v>
      </c>
      <c r="N432" s="223">
        <v>482731</v>
      </c>
      <c r="O432" s="132" t="s">
        <v>244</v>
      </c>
      <c r="P432" s="132" t="s">
        <v>245</v>
      </c>
      <c r="Q432" s="133">
        <v>1590</v>
      </c>
      <c r="R432" s="132" t="s">
        <v>279</v>
      </c>
      <c r="S432" s="132" t="s">
        <v>11</v>
      </c>
      <c r="T432" s="134">
        <v>42548</v>
      </c>
      <c r="U432" s="172">
        <f t="shared" si="28"/>
        <v>2016</v>
      </c>
      <c r="V432" s="172">
        <f t="shared" si="29"/>
        <v>6</v>
      </c>
      <c r="W432" s="44" t="s">
        <v>280</v>
      </c>
      <c r="X432" t="s">
        <v>892</v>
      </c>
      <c r="Y432">
        <v>1</v>
      </c>
      <c r="AA432" s="13">
        <f t="shared" si="27"/>
        <v>67269</v>
      </c>
      <c r="AE432" s="43"/>
      <c r="AL432" s="87" t="s">
        <v>819</v>
      </c>
      <c r="AM432" s="86">
        <v>321858</v>
      </c>
    </row>
    <row r="433" spans="13:39" hidden="1">
      <c r="M433" s="131">
        <v>67392</v>
      </c>
      <c r="N433" s="223">
        <v>486394</v>
      </c>
      <c r="O433" s="132" t="s">
        <v>244</v>
      </c>
      <c r="P433" s="132" t="s">
        <v>245</v>
      </c>
      <c r="Q433" s="133">
        <v>478</v>
      </c>
      <c r="R433" s="132" t="s">
        <v>279</v>
      </c>
      <c r="S433" s="132" t="s">
        <v>11</v>
      </c>
      <c r="T433" s="134">
        <v>42246</v>
      </c>
      <c r="U433" s="172">
        <f t="shared" si="28"/>
        <v>2015</v>
      </c>
      <c r="V433" s="172">
        <f t="shared" si="29"/>
        <v>8</v>
      </c>
      <c r="W433" s="44" t="s">
        <v>291</v>
      </c>
      <c r="X433" t="s">
        <v>892</v>
      </c>
      <c r="Y433">
        <v>1</v>
      </c>
      <c r="AA433" s="13">
        <f t="shared" si="27"/>
        <v>67392</v>
      </c>
      <c r="AE433" s="43"/>
      <c r="AL433" s="87" t="s">
        <v>819</v>
      </c>
      <c r="AM433" s="86">
        <v>321858</v>
      </c>
    </row>
    <row r="434" spans="13:39" hidden="1">
      <c r="M434" s="131">
        <v>67553</v>
      </c>
      <c r="N434" s="223">
        <v>546921</v>
      </c>
      <c r="O434" s="132" t="s">
        <v>244</v>
      </c>
      <c r="P434" s="132" t="s">
        <v>245</v>
      </c>
      <c r="Q434" s="133">
        <v>1472</v>
      </c>
      <c r="R434" s="132" t="s">
        <v>279</v>
      </c>
      <c r="S434" s="132" t="s">
        <v>11</v>
      </c>
      <c r="T434" s="134">
        <v>42548</v>
      </c>
      <c r="U434" s="172">
        <f t="shared" si="28"/>
        <v>2016</v>
      </c>
      <c r="V434" s="172">
        <f t="shared" si="29"/>
        <v>6</v>
      </c>
      <c r="W434" s="44" t="s">
        <v>280</v>
      </c>
      <c r="X434" t="s">
        <v>892</v>
      </c>
      <c r="Y434">
        <v>1</v>
      </c>
      <c r="AA434" s="13">
        <f t="shared" si="27"/>
        <v>67553</v>
      </c>
      <c r="AE434" s="43"/>
      <c r="AL434" s="87" t="s">
        <v>819</v>
      </c>
      <c r="AM434" s="86">
        <v>321858</v>
      </c>
    </row>
    <row r="435" spans="13:39" hidden="1">
      <c r="M435" s="131">
        <v>67553</v>
      </c>
      <c r="N435" s="223">
        <v>565715</v>
      </c>
      <c r="O435" s="132" t="s">
        <v>244</v>
      </c>
      <c r="P435" s="132" t="s">
        <v>245</v>
      </c>
      <c r="Q435" s="133">
        <v>1504</v>
      </c>
      <c r="R435" s="132" t="s">
        <v>279</v>
      </c>
      <c r="S435" s="132" t="s">
        <v>11</v>
      </c>
      <c r="T435" s="134">
        <v>42548</v>
      </c>
      <c r="U435" s="172">
        <f t="shared" si="28"/>
        <v>2016</v>
      </c>
      <c r="V435" s="172">
        <f t="shared" si="29"/>
        <v>6</v>
      </c>
      <c r="W435" s="44" t="s">
        <v>280</v>
      </c>
      <c r="X435" t="s">
        <v>892</v>
      </c>
      <c r="Y435">
        <v>1</v>
      </c>
      <c r="AA435" s="13">
        <f t="shared" si="27"/>
        <v>67553</v>
      </c>
      <c r="AE435" s="43"/>
      <c r="AL435" s="87" t="s">
        <v>819</v>
      </c>
      <c r="AM435" s="86">
        <v>321858</v>
      </c>
    </row>
    <row r="436" spans="13:39" hidden="1">
      <c r="M436" s="131">
        <v>67748</v>
      </c>
      <c r="N436" s="223">
        <v>543504</v>
      </c>
      <c r="O436" s="132" t="s">
        <v>244</v>
      </c>
      <c r="P436" s="132" t="s">
        <v>245</v>
      </c>
      <c r="Q436" s="133">
        <v>1293</v>
      </c>
      <c r="R436" s="132" t="s">
        <v>279</v>
      </c>
      <c r="S436" s="132" t="s">
        <v>11</v>
      </c>
      <c r="T436" s="134">
        <v>42548</v>
      </c>
      <c r="U436" s="172">
        <f t="shared" si="28"/>
        <v>2016</v>
      </c>
      <c r="V436" s="172">
        <f t="shared" si="29"/>
        <v>6</v>
      </c>
      <c r="W436" s="44" t="s">
        <v>280</v>
      </c>
      <c r="X436" t="s">
        <v>892</v>
      </c>
      <c r="Y436">
        <v>1</v>
      </c>
      <c r="AA436" s="13">
        <f t="shared" si="27"/>
        <v>67748</v>
      </c>
      <c r="AE436" s="43"/>
      <c r="AL436" s="87" t="s">
        <v>819</v>
      </c>
      <c r="AM436" s="86">
        <v>321858</v>
      </c>
    </row>
    <row r="437" spans="13:39" hidden="1">
      <c r="M437" s="131">
        <v>68000</v>
      </c>
      <c r="N437" s="223">
        <v>522573</v>
      </c>
      <c r="O437" s="132" t="s">
        <v>244</v>
      </c>
      <c r="P437" s="132" t="s">
        <v>245</v>
      </c>
      <c r="Q437" s="133">
        <v>84</v>
      </c>
      <c r="R437" s="132" t="s">
        <v>279</v>
      </c>
      <c r="S437" s="132" t="s">
        <v>11</v>
      </c>
      <c r="T437" s="134">
        <v>42246</v>
      </c>
      <c r="U437" s="172">
        <f t="shared" si="28"/>
        <v>2015</v>
      </c>
      <c r="V437" s="172">
        <f t="shared" si="29"/>
        <v>8</v>
      </c>
      <c r="W437" s="44" t="s">
        <v>291</v>
      </c>
      <c r="X437" t="s">
        <v>892</v>
      </c>
      <c r="Y437">
        <v>1</v>
      </c>
      <c r="AA437" s="13">
        <f t="shared" si="27"/>
        <v>68000</v>
      </c>
      <c r="AE437" s="43"/>
      <c r="AL437" s="87" t="s">
        <v>819</v>
      </c>
      <c r="AM437" s="86">
        <v>321858</v>
      </c>
    </row>
    <row r="438" spans="13:39" hidden="1">
      <c r="M438" s="131">
        <v>68456</v>
      </c>
      <c r="N438" s="223">
        <v>595331</v>
      </c>
      <c r="O438" s="132" t="s">
        <v>244</v>
      </c>
      <c r="P438" s="132" t="s">
        <v>245</v>
      </c>
      <c r="Q438" s="133">
        <v>364</v>
      </c>
      <c r="R438" s="132" t="s">
        <v>279</v>
      </c>
      <c r="S438" s="132" t="s">
        <v>11</v>
      </c>
      <c r="T438" s="134">
        <v>42548</v>
      </c>
      <c r="U438" s="172">
        <f t="shared" si="28"/>
        <v>2016</v>
      </c>
      <c r="V438" s="172">
        <f t="shared" si="29"/>
        <v>6</v>
      </c>
      <c r="W438" s="44" t="s">
        <v>280</v>
      </c>
      <c r="X438" t="s">
        <v>892</v>
      </c>
      <c r="Y438">
        <v>1</v>
      </c>
      <c r="AA438" s="13">
        <f t="shared" si="27"/>
        <v>68456</v>
      </c>
      <c r="AE438" s="43"/>
      <c r="AL438" s="87" t="s">
        <v>819</v>
      </c>
      <c r="AM438" s="86">
        <v>321858</v>
      </c>
    </row>
    <row r="439" spans="13:39" hidden="1">
      <c r="M439" s="131">
        <v>68888</v>
      </c>
      <c r="N439" s="223">
        <v>480942</v>
      </c>
      <c r="O439" s="132" t="s">
        <v>244</v>
      </c>
      <c r="P439" s="132" t="s">
        <v>245</v>
      </c>
      <c r="Q439" s="133">
        <v>143</v>
      </c>
      <c r="R439" s="132" t="s">
        <v>279</v>
      </c>
      <c r="S439" s="132" t="s">
        <v>11</v>
      </c>
      <c r="T439" s="134">
        <v>42246</v>
      </c>
      <c r="U439" s="172">
        <f t="shared" si="28"/>
        <v>2015</v>
      </c>
      <c r="V439" s="172">
        <f t="shared" si="29"/>
        <v>8</v>
      </c>
      <c r="W439" s="44" t="s">
        <v>291</v>
      </c>
      <c r="X439" t="s">
        <v>892</v>
      </c>
      <c r="Y439">
        <v>1</v>
      </c>
      <c r="AA439" s="13">
        <f t="shared" si="27"/>
        <v>68888</v>
      </c>
      <c r="AE439" s="43"/>
      <c r="AL439" s="87" t="s">
        <v>819</v>
      </c>
      <c r="AM439" s="86">
        <v>321858</v>
      </c>
    </row>
    <row r="440" spans="13:39" hidden="1">
      <c r="M440" s="131">
        <v>69101</v>
      </c>
      <c r="N440" s="223">
        <v>546351</v>
      </c>
      <c r="O440" s="132" t="s">
        <v>244</v>
      </c>
      <c r="P440" s="132" t="s">
        <v>245</v>
      </c>
      <c r="Q440" s="133">
        <v>1232</v>
      </c>
      <c r="R440" s="132" t="s">
        <v>279</v>
      </c>
      <c r="S440" s="132" t="s">
        <v>11</v>
      </c>
      <c r="T440" s="134">
        <v>42548</v>
      </c>
      <c r="U440" s="172">
        <f t="shared" si="28"/>
        <v>2016</v>
      </c>
      <c r="V440" s="172">
        <f t="shared" si="29"/>
        <v>6</v>
      </c>
      <c r="W440" s="44" t="s">
        <v>280</v>
      </c>
      <c r="X440" t="s">
        <v>892</v>
      </c>
      <c r="Y440">
        <v>1</v>
      </c>
      <c r="AA440" s="13">
        <f t="shared" si="27"/>
        <v>69101</v>
      </c>
      <c r="AE440" s="43"/>
      <c r="AL440" s="87" t="s">
        <v>819</v>
      </c>
      <c r="AM440" s="86">
        <v>321858</v>
      </c>
    </row>
    <row r="441" spans="13:39" hidden="1">
      <c r="M441" s="131">
        <v>69300</v>
      </c>
      <c r="N441" s="223">
        <v>515455</v>
      </c>
      <c r="O441" s="132" t="s">
        <v>244</v>
      </c>
      <c r="P441" s="132" t="s">
        <v>245</v>
      </c>
      <c r="Q441" s="133">
        <v>648</v>
      </c>
      <c r="R441" s="132" t="s">
        <v>279</v>
      </c>
      <c r="S441" s="132" t="s">
        <v>11</v>
      </c>
      <c r="T441" s="134">
        <v>42246</v>
      </c>
      <c r="U441" s="172">
        <f t="shared" si="28"/>
        <v>2015</v>
      </c>
      <c r="V441" s="172">
        <f t="shared" si="29"/>
        <v>8</v>
      </c>
      <c r="W441" s="44" t="s">
        <v>291</v>
      </c>
      <c r="X441" t="s">
        <v>892</v>
      </c>
      <c r="Y441">
        <v>1</v>
      </c>
      <c r="AA441" s="13">
        <f t="shared" si="27"/>
        <v>69300</v>
      </c>
      <c r="AE441" s="43"/>
      <c r="AL441" s="87" t="s">
        <v>819</v>
      </c>
      <c r="AM441" s="86">
        <v>3220963</v>
      </c>
    </row>
    <row r="442" spans="13:39" hidden="1">
      <c r="M442" s="131">
        <v>69300</v>
      </c>
      <c r="N442" s="223">
        <v>526358</v>
      </c>
      <c r="O442" s="132" t="s">
        <v>244</v>
      </c>
      <c r="P442" s="132" t="s">
        <v>245</v>
      </c>
      <c r="Q442" s="133">
        <v>667</v>
      </c>
      <c r="R442" s="132" t="s">
        <v>279</v>
      </c>
      <c r="S442" s="132" t="s">
        <v>11</v>
      </c>
      <c r="T442" s="134">
        <v>42246</v>
      </c>
      <c r="U442" s="172">
        <f t="shared" si="28"/>
        <v>2015</v>
      </c>
      <c r="V442" s="172">
        <f t="shared" si="29"/>
        <v>8</v>
      </c>
      <c r="W442" s="44" t="s">
        <v>291</v>
      </c>
      <c r="X442" t="s">
        <v>892</v>
      </c>
      <c r="Y442">
        <v>1</v>
      </c>
      <c r="AA442" s="13">
        <f t="shared" si="27"/>
        <v>69300</v>
      </c>
      <c r="AE442" s="43"/>
      <c r="AL442" s="87" t="s">
        <v>819</v>
      </c>
      <c r="AM442" s="86">
        <v>322889</v>
      </c>
    </row>
    <row r="443" spans="13:39" hidden="1">
      <c r="M443" s="131">
        <v>69301</v>
      </c>
      <c r="N443" s="223">
        <v>524375</v>
      </c>
      <c r="O443" s="132" t="s">
        <v>244</v>
      </c>
      <c r="P443" s="132" t="s">
        <v>245</v>
      </c>
      <c r="Q443" s="133">
        <v>671</v>
      </c>
      <c r="R443" s="132" t="s">
        <v>279</v>
      </c>
      <c r="S443" s="132" t="s">
        <v>11</v>
      </c>
      <c r="T443" s="134">
        <v>42246</v>
      </c>
      <c r="U443" s="172">
        <f t="shared" si="28"/>
        <v>2015</v>
      </c>
      <c r="V443" s="172">
        <f t="shared" si="29"/>
        <v>8</v>
      </c>
      <c r="W443" s="44" t="s">
        <v>291</v>
      </c>
      <c r="X443" t="s">
        <v>892</v>
      </c>
      <c r="Y443">
        <v>1</v>
      </c>
      <c r="AA443" s="13">
        <f t="shared" si="27"/>
        <v>69301</v>
      </c>
      <c r="AE443" s="43"/>
      <c r="AL443" s="87" t="s">
        <v>819</v>
      </c>
      <c r="AM443" s="86">
        <v>324064</v>
      </c>
    </row>
    <row r="444" spans="13:39" hidden="1">
      <c r="M444" s="131">
        <v>69665</v>
      </c>
      <c r="N444" s="223">
        <v>468492</v>
      </c>
      <c r="O444" s="132" t="s">
        <v>244</v>
      </c>
      <c r="P444" s="132" t="s">
        <v>245</v>
      </c>
      <c r="Q444" s="133">
        <v>1144</v>
      </c>
      <c r="R444" s="132" t="s">
        <v>279</v>
      </c>
      <c r="S444" s="132" t="s">
        <v>11</v>
      </c>
      <c r="T444" s="134">
        <v>42548</v>
      </c>
      <c r="U444" s="172">
        <f t="shared" si="28"/>
        <v>2016</v>
      </c>
      <c r="V444" s="172">
        <f t="shared" si="29"/>
        <v>6</v>
      </c>
      <c r="W444" s="44" t="s">
        <v>280</v>
      </c>
      <c r="X444" t="s">
        <v>892</v>
      </c>
      <c r="Y444">
        <v>1</v>
      </c>
      <c r="AA444" s="13">
        <f t="shared" si="27"/>
        <v>69665</v>
      </c>
      <c r="AE444" s="43"/>
      <c r="AL444" s="87" t="s">
        <v>819</v>
      </c>
      <c r="AM444" s="86">
        <v>324064</v>
      </c>
    </row>
    <row r="445" spans="13:39" hidden="1">
      <c r="M445" s="131">
        <v>70000</v>
      </c>
      <c r="N445" s="223">
        <v>455962</v>
      </c>
      <c r="O445" s="132" t="s">
        <v>244</v>
      </c>
      <c r="P445" s="132" t="s">
        <v>245</v>
      </c>
      <c r="Q445" s="133">
        <v>1194</v>
      </c>
      <c r="R445" s="132" t="s">
        <v>279</v>
      </c>
      <c r="S445" s="132" t="s">
        <v>11</v>
      </c>
      <c r="T445" s="134">
        <v>42548</v>
      </c>
      <c r="U445" s="172">
        <f t="shared" si="28"/>
        <v>2016</v>
      </c>
      <c r="V445" s="172">
        <f t="shared" si="29"/>
        <v>6</v>
      </c>
      <c r="W445" s="44" t="s">
        <v>280</v>
      </c>
      <c r="X445" t="s">
        <v>892</v>
      </c>
      <c r="Y445">
        <v>1</v>
      </c>
      <c r="AA445" s="13">
        <f t="shared" si="27"/>
        <v>70000</v>
      </c>
      <c r="AE445" s="43"/>
      <c r="AL445" s="87" t="s">
        <v>819</v>
      </c>
      <c r="AM445" s="86">
        <v>325202</v>
      </c>
    </row>
    <row r="446" spans="13:39" hidden="1">
      <c r="M446" s="131">
        <v>70000</v>
      </c>
      <c r="N446" s="223">
        <v>470201</v>
      </c>
      <c r="O446" s="132" t="s">
        <v>244</v>
      </c>
      <c r="P446" s="132" t="s">
        <v>245</v>
      </c>
      <c r="Q446" s="133">
        <v>1164</v>
      </c>
      <c r="R446" s="132" t="s">
        <v>279</v>
      </c>
      <c r="S446" s="132" t="s">
        <v>11</v>
      </c>
      <c r="T446" s="134">
        <v>42548</v>
      </c>
      <c r="U446" s="172">
        <f t="shared" si="28"/>
        <v>2016</v>
      </c>
      <c r="V446" s="172">
        <f t="shared" si="29"/>
        <v>6</v>
      </c>
      <c r="W446" s="44" t="s">
        <v>280</v>
      </c>
      <c r="X446" t="s">
        <v>892</v>
      </c>
      <c r="Y446">
        <v>1</v>
      </c>
      <c r="AA446" s="13">
        <f t="shared" si="27"/>
        <v>70000</v>
      </c>
      <c r="AE446" s="43"/>
      <c r="AL446" s="87" t="s">
        <v>819</v>
      </c>
      <c r="AM446" s="86">
        <v>325202</v>
      </c>
    </row>
    <row r="447" spans="13:39" hidden="1">
      <c r="M447" s="131">
        <v>70000</v>
      </c>
      <c r="N447" s="223">
        <v>475491</v>
      </c>
      <c r="O447" s="132" t="s">
        <v>244</v>
      </c>
      <c r="P447" s="132" t="s">
        <v>245</v>
      </c>
      <c r="Q447" s="133">
        <v>383</v>
      </c>
      <c r="R447" s="132" t="s">
        <v>279</v>
      </c>
      <c r="S447" s="132" t="s">
        <v>11</v>
      </c>
      <c r="T447" s="134">
        <v>42246</v>
      </c>
      <c r="U447" s="172">
        <f t="shared" si="28"/>
        <v>2015</v>
      </c>
      <c r="V447" s="172">
        <f t="shared" si="29"/>
        <v>8</v>
      </c>
      <c r="W447" s="44" t="s">
        <v>291</v>
      </c>
      <c r="X447" t="s">
        <v>892</v>
      </c>
      <c r="Y447">
        <v>1</v>
      </c>
      <c r="AA447" s="13">
        <f t="shared" si="27"/>
        <v>70000</v>
      </c>
      <c r="AE447" s="43"/>
      <c r="AL447" s="87" t="s">
        <v>819</v>
      </c>
      <c r="AM447" s="86">
        <v>327677</v>
      </c>
    </row>
    <row r="448" spans="13:39" hidden="1">
      <c r="M448" s="131">
        <v>70000</v>
      </c>
      <c r="N448" s="223">
        <v>479456</v>
      </c>
      <c r="O448" s="132" t="s">
        <v>244</v>
      </c>
      <c r="P448" s="132" t="s">
        <v>245</v>
      </c>
      <c r="Q448" s="133">
        <v>234</v>
      </c>
      <c r="R448" s="132" t="s">
        <v>279</v>
      </c>
      <c r="S448" s="132" t="s">
        <v>11</v>
      </c>
      <c r="T448" s="134">
        <v>42246</v>
      </c>
      <c r="U448" s="172">
        <f t="shared" si="28"/>
        <v>2015</v>
      </c>
      <c r="V448" s="172">
        <f t="shared" si="29"/>
        <v>8</v>
      </c>
      <c r="W448" s="44" t="s">
        <v>291</v>
      </c>
      <c r="X448" t="s">
        <v>892</v>
      </c>
      <c r="Y448">
        <v>1</v>
      </c>
      <c r="AA448" s="13">
        <f t="shared" si="27"/>
        <v>70000</v>
      </c>
      <c r="AE448" s="43"/>
      <c r="AL448" s="87" t="s">
        <v>819</v>
      </c>
      <c r="AM448" s="86">
        <v>328047</v>
      </c>
    </row>
    <row r="449" spans="13:39" hidden="1">
      <c r="M449" s="131">
        <v>70000</v>
      </c>
      <c r="N449" s="223">
        <v>486394</v>
      </c>
      <c r="O449" s="132" t="s">
        <v>244</v>
      </c>
      <c r="P449" s="132" t="s">
        <v>245</v>
      </c>
      <c r="Q449" s="133">
        <v>405</v>
      </c>
      <c r="R449" s="132" t="s">
        <v>279</v>
      </c>
      <c r="S449" s="132" t="s">
        <v>11</v>
      </c>
      <c r="T449" s="134">
        <v>42246</v>
      </c>
      <c r="U449" s="172">
        <f t="shared" si="28"/>
        <v>2015</v>
      </c>
      <c r="V449" s="172">
        <f t="shared" si="29"/>
        <v>8</v>
      </c>
      <c r="W449" s="44" t="s">
        <v>291</v>
      </c>
      <c r="X449" t="s">
        <v>892</v>
      </c>
      <c r="Y449">
        <v>1</v>
      </c>
      <c r="AA449" s="13">
        <f t="shared" si="27"/>
        <v>70000</v>
      </c>
      <c r="AE449" s="43"/>
      <c r="AL449" s="87" t="s">
        <v>819</v>
      </c>
      <c r="AM449" s="86">
        <v>32866989</v>
      </c>
    </row>
    <row r="450" spans="13:39" hidden="1">
      <c r="M450" s="131">
        <v>70000</v>
      </c>
      <c r="N450" s="223">
        <v>486890</v>
      </c>
      <c r="O450" s="132" t="s">
        <v>244</v>
      </c>
      <c r="P450" s="132" t="s">
        <v>245</v>
      </c>
      <c r="Q450" s="133">
        <v>177</v>
      </c>
      <c r="R450" s="132" t="s">
        <v>279</v>
      </c>
      <c r="S450" s="132" t="s">
        <v>11</v>
      </c>
      <c r="T450" s="134">
        <v>42246</v>
      </c>
      <c r="U450" s="172">
        <f t="shared" si="28"/>
        <v>2015</v>
      </c>
      <c r="V450" s="172">
        <f t="shared" si="29"/>
        <v>8</v>
      </c>
      <c r="W450" s="44" t="s">
        <v>291</v>
      </c>
      <c r="X450" t="s">
        <v>892</v>
      </c>
      <c r="Y450">
        <v>1</v>
      </c>
      <c r="AA450" s="13">
        <f t="shared" si="27"/>
        <v>70000</v>
      </c>
      <c r="AE450" s="43"/>
      <c r="AL450" s="87" t="s">
        <v>819</v>
      </c>
      <c r="AM450" s="86">
        <v>3303873</v>
      </c>
    </row>
    <row r="451" spans="13:39" hidden="1">
      <c r="M451" s="131">
        <v>70000</v>
      </c>
      <c r="N451" s="223">
        <v>490854</v>
      </c>
      <c r="O451" s="132" t="s">
        <v>244</v>
      </c>
      <c r="P451" s="132" t="s">
        <v>245</v>
      </c>
      <c r="Q451" s="133">
        <v>526</v>
      </c>
      <c r="R451" s="132" t="s">
        <v>279</v>
      </c>
      <c r="S451" s="132" t="s">
        <v>11</v>
      </c>
      <c r="T451" s="134">
        <v>42246</v>
      </c>
      <c r="U451" s="172">
        <f t="shared" si="28"/>
        <v>2015</v>
      </c>
      <c r="V451" s="172">
        <f t="shared" si="29"/>
        <v>8</v>
      </c>
      <c r="W451" s="44" t="s">
        <v>291</v>
      </c>
      <c r="X451" t="s">
        <v>892</v>
      </c>
      <c r="Y451">
        <v>1</v>
      </c>
      <c r="AA451" s="13">
        <f t="shared" si="27"/>
        <v>70000</v>
      </c>
      <c r="AE451" s="43"/>
      <c r="AL451" s="87" t="s">
        <v>819</v>
      </c>
      <c r="AM451" s="86">
        <v>331132</v>
      </c>
    </row>
    <row r="452" spans="13:39" hidden="1">
      <c r="M452" s="131">
        <v>70000</v>
      </c>
      <c r="N452" s="223">
        <v>541227</v>
      </c>
      <c r="O452" s="132" t="s">
        <v>244</v>
      </c>
      <c r="P452" s="132" t="s">
        <v>245</v>
      </c>
      <c r="Q452" s="133">
        <v>1113</v>
      </c>
      <c r="R452" s="132" t="s">
        <v>279</v>
      </c>
      <c r="S452" s="132" t="s">
        <v>11</v>
      </c>
      <c r="T452" s="134">
        <v>42548</v>
      </c>
      <c r="U452" s="172">
        <f t="shared" si="28"/>
        <v>2016</v>
      </c>
      <c r="V452" s="172">
        <f t="shared" si="29"/>
        <v>6</v>
      </c>
      <c r="W452" s="44" t="s">
        <v>280</v>
      </c>
      <c r="X452" t="s">
        <v>892</v>
      </c>
      <c r="Y452">
        <v>1</v>
      </c>
      <c r="AA452" s="13">
        <f t="shared" ref="AA452:AA515" si="30">IF(M452&lt;30000,Y452*100*M452*(1-$L$1)-$L$2*Y452,M452)</f>
        <v>70000</v>
      </c>
      <c r="AE452" s="43"/>
      <c r="AL452" s="87" t="s">
        <v>819</v>
      </c>
      <c r="AM452" s="86">
        <v>3315099</v>
      </c>
    </row>
    <row r="453" spans="13:39" hidden="1">
      <c r="M453" s="131">
        <v>70000</v>
      </c>
      <c r="N453" s="223">
        <v>557173</v>
      </c>
      <c r="O453" s="132" t="s">
        <v>244</v>
      </c>
      <c r="P453" s="132" t="s">
        <v>245</v>
      </c>
      <c r="Q453" s="133">
        <v>1049</v>
      </c>
      <c r="R453" s="132" t="s">
        <v>279</v>
      </c>
      <c r="S453" s="132" t="s">
        <v>11</v>
      </c>
      <c r="T453" s="134">
        <v>42548</v>
      </c>
      <c r="U453" s="172">
        <f t="shared" si="28"/>
        <v>2016</v>
      </c>
      <c r="V453" s="172">
        <f t="shared" si="29"/>
        <v>6</v>
      </c>
      <c r="W453" s="44" t="s">
        <v>280</v>
      </c>
      <c r="X453" t="s">
        <v>892</v>
      </c>
      <c r="Y453">
        <v>1</v>
      </c>
      <c r="AA453" s="13">
        <f t="shared" si="30"/>
        <v>70000</v>
      </c>
      <c r="AE453" s="43"/>
      <c r="AL453" s="87" t="s">
        <v>819</v>
      </c>
      <c r="AM453" s="86">
        <v>33361536</v>
      </c>
    </row>
    <row r="454" spans="13:39" hidden="1">
      <c r="M454" s="131">
        <v>70000</v>
      </c>
      <c r="N454" s="223">
        <v>565147</v>
      </c>
      <c r="O454" s="132" t="s">
        <v>244</v>
      </c>
      <c r="P454" s="132" t="s">
        <v>245</v>
      </c>
      <c r="Q454" s="133">
        <v>90</v>
      </c>
      <c r="R454" s="132" t="s">
        <v>279</v>
      </c>
      <c r="S454" s="132" t="s">
        <v>11</v>
      </c>
      <c r="T454" s="134">
        <v>42548</v>
      </c>
      <c r="U454" s="172">
        <f t="shared" si="28"/>
        <v>2016</v>
      </c>
      <c r="V454" s="172">
        <f t="shared" si="29"/>
        <v>6</v>
      </c>
      <c r="W454" s="44" t="s">
        <v>280</v>
      </c>
      <c r="X454" t="s">
        <v>892</v>
      </c>
      <c r="Y454">
        <v>1</v>
      </c>
      <c r="AA454" s="13">
        <f t="shared" si="30"/>
        <v>70000</v>
      </c>
      <c r="AE454" s="43"/>
      <c r="AL454" s="87" t="s">
        <v>819</v>
      </c>
      <c r="AM454" s="86">
        <v>334237</v>
      </c>
    </row>
    <row r="455" spans="13:39" hidden="1">
      <c r="M455" s="131">
        <v>70002</v>
      </c>
      <c r="N455" s="223">
        <v>470201</v>
      </c>
      <c r="O455" s="132" t="s">
        <v>244</v>
      </c>
      <c r="P455" s="132" t="s">
        <v>245</v>
      </c>
      <c r="Q455" s="133">
        <v>1176</v>
      </c>
      <c r="R455" s="132" t="s">
        <v>279</v>
      </c>
      <c r="S455" s="132" t="s">
        <v>11</v>
      </c>
      <c r="T455" s="134">
        <v>42548</v>
      </c>
      <c r="U455" s="172">
        <f t="shared" ref="U455:U518" si="31">YEAR($T455)</f>
        <v>2016</v>
      </c>
      <c r="V455" s="172">
        <f t="shared" ref="V455:V518" si="32">MONTH($T455)</f>
        <v>6</v>
      </c>
      <c r="W455" s="44" t="s">
        <v>280</v>
      </c>
      <c r="X455" t="s">
        <v>892</v>
      </c>
      <c r="Y455">
        <v>1</v>
      </c>
      <c r="AA455" s="13">
        <f t="shared" si="30"/>
        <v>70002</v>
      </c>
      <c r="AE455" s="43"/>
      <c r="AL455" s="87" t="s">
        <v>819</v>
      </c>
      <c r="AM455" s="86">
        <v>33436020</v>
      </c>
    </row>
    <row r="456" spans="13:39" hidden="1">
      <c r="M456" s="131">
        <v>70100</v>
      </c>
      <c r="N456" s="223">
        <v>541796</v>
      </c>
      <c r="O456" s="132" t="s">
        <v>244</v>
      </c>
      <c r="P456" s="132" t="s">
        <v>245</v>
      </c>
      <c r="Q456" s="133">
        <v>1056</v>
      </c>
      <c r="R456" s="132" t="s">
        <v>279</v>
      </c>
      <c r="S456" s="132" t="s">
        <v>11</v>
      </c>
      <c r="T456" s="134">
        <v>42548</v>
      </c>
      <c r="U456" s="172">
        <f t="shared" si="31"/>
        <v>2016</v>
      </c>
      <c r="V456" s="172">
        <f t="shared" si="32"/>
        <v>6</v>
      </c>
      <c r="W456" s="44" t="s">
        <v>280</v>
      </c>
      <c r="X456" t="s">
        <v>892</v>
      </c>
      <c r="Y456">
        <v>1</v>
      </c>
      <c r="AA456" s="13">
        <f t="shared" si="30"/>
        <v>70100</v>
      </c>
      <c r="AE456" s="43"/>
      <c r="AL456" s="87" t="s">
        <v>819</v>
      </c>
      <c r="AM456" s="86">
        <v>33532538</v>
      </c>
    </row>
    <row r="457" spans="13:39" hidden="1">
      <c r="M457" s="131">
        <v>70100</v>
      </c>
      <c r="N457" s="223">
        <v>544643</v>
      </c>
      <c r="O457" s="132" t="s">
        <v>244</v>
      </c>
      <c r="P457" s="132" t="s">
        <v>245</v>
      </c>
      <c r="Q457" s="133">
        <v>1463</v>
      </c>
      <c r="R457" s="132" t="s">
        <v>279</v>
      </c>
      <c r="S457" s="132" t="s">
        <v>11</v>
      </c>
      <c r="T457" s="134">
        <v>42548</v>
      </c>
      <c r="U457" s="172">
        <f t="shared" si="31"/>
        <v>2016</v>
      </c>
      <c r="V457" s="172">
        <f t="shared" si="32"/>
        <v>6</v>
      </c>
      <c r="W457" s="44" t="s">
        <v>280</v>
      </c>
      <c r="X457" t="s">
        <v>892</v>
      </c>
      <c r="Y457">
        <v>1</v>
      </c>
      <c r="AA457" s="13">
        <f t="shared" si="30"/>
        <v>70100</v>
      </c>
      <c r="AE457" s="43"/>
      <c r="AL457" s="87" t="s">
        <v>819</v>
      </c>
      <c r="AM457" s="86">
        <v>3394461</v>
      </c>
    </row>
    <row r="458" spans="13:39" hidden="1">
      <c r="M458" s="131">
        <v>70200</v>
      </c>
      <c r="N458" s="223">
        <v>544074</v>
      </c>
      <c r="O458" s="132" t="s">
        <v>244</v>
      </c>
      <c r="P458" s="132" t="s">
        <v>245</v>
      </c>
      <c r="Q458" s="133">
        <v>1073</v>
      </c>
      <c r="R458" s="132" t="s">
        <v>279</v>
      </c>
      <c r="S458" s="132" t="s">
        <v>11</v>
      </c>
      <c r="T458" s="134">
        <v>42548</v>
      </c>
      <c r="U458" s="172">
        <f t="shared" si="31"/>
        <v>2016</v>
      </c>
      <c r="V458" s="172">
        <f t="shared" si="32"/>
        <v>6</v>
      </c>
      <c r="W458" s="44" t="s">
        <v>280</v>
      </c>
      <c r="X458" t="s">
        <v>892</v>
      </c>
      <c r="Y458">
        <v>1</v>
      </c>
      <c r="AA458" s="13">
        <f t="shared" si="30"/>
        <v>70200</v>
      </c>
      <c r="AE458" s="43"/>
      <c r="AL458" s="87" t="s">
        <v>819</v>
      </c>
      <c r="AM458" s="86">
        <v>340427</v>
      </c>
    </row>
    <row r="459" spans="13:39" hidden="1">
      <c r="M459" s="131">
        <v>70355</v>
      </c>
      <c r="N459" s="223">
        <v>493828</v>
      </c>
      <c r="O459" s="132" t="s">
        <v>244</v>
      </c>
      <c r="P459" s="132" t="s">
        <v>245</v>
      </c>
      <c r="Q459" s="133">
        <v>499</v>
      </c>
      <c r="R459" s="132" t="s">
        <v>279</v>
      </c>
      <c r="S459" s="132" t="s">
        <v>11</v>
      </c>
      <c r="T459" s="134">
        <v>42246</v>
      </c>
      <c r="U459" s="172">
        <f t="shared" si="31"/>
        <v>2015</v>
      </c>
      <c r="V459" s="172">
        <f t="shared" si="32"/>
        <v>8</v>
      </c>
      <c r="W459" s="44" t="s">
        <v>291</v>
      </c>
      <c r="X459" t="s">
        <v>892</v>
      </c>
      <c r="Y459">
        <v>1</v>
      </c>
      <c r="AA459" s="13">
        <f t="shared" si="30"/>
        <v>70355</v>
      </c>
      <c r="AE459" s="43"/>
      <c r="AL459" s="87" t="s">
        <v>819</v>
      </c>
      <c r="AM459" s="86">
        <v>34090991</v>
      </c>
    </row>
    <row r="460" spans="13:39" hidden="1">
      <c r="M460" s="131">
        <v>70500</v>
      </c>
      <c r="N460" s="223">
        <v>468492</v>
      </c>
      <c r="O460" s="132" t="s">
        <v>244</v>
      </c>
      <c r="P460" s="132" t="s">
        <v>245</v>
      </c>
      <c r="Q460" s="133">
        <v>1403</v>
      </c>
      <c r="R460" s="132" t="s">
        <v>279</v>
      </c>
      <c r="S460" s="132" t="s">
        <v>11</v>
      </c>
      <c r="T460" s="134">
        <v>42548</v>
      </c>
      <c r="U460" s="172">
        <f t="shared" si="31"/>
        <v>2016</v>
      </c>
      <c r="V460" s="172">
        <f t="shared" si="32"/>
        <v>6</v>
      </c>
      <c r="W460" s="44" t="s">
        <v>280</v>
      </c>
      <c r="X460" t="s">
        <v>892</v>
      </c>
      <c r="Y460">
        <v>1</v>
      </c>
      <c r="AA460" s="13">
        <f t="shared" si="30"/>
        <v>70500</v>
      </c>
      <c r="AE460" s="43"/>
      <c r="AL460" s="87" t="s">
        <v>819</v>
      </c>
      <c r="AM460" s="86">
        <v>34095569</v>
      </c>
    </row>
    <row r="461" spans="13:39" hidden="1">
      <c r="M461" s="131">
        <v>70550</v>
      </c>
      <c r="N461" s="223">
        <v>484908</v>
      </c>
      <c r="O461" s="132" t="s">
        <v>244</v>
      </c>
      <c r="P461" s="132" t="s">
        <v>245</v>
      </c>
      <c r="Q461" s="133">
        <v>481</v>
      </c>
      <c r="R461" s="132" t="s">
        <v>279</v>
      </c>
      <c r="S461" s="132" t="s">
        <v>11</v>
      </c>
      <c r="T461" s="134">
        <v>42246</v>
      </c>
      <c r="U461" s="172">
        <f t="shared" si="31"/>
        <v>2015</v>
      </c>
      <c r="V461" s="172">
        <f t="shared" si="32"/>
        <v>8</v>
      </c>
      <c r="W461" s="44" t="s">
        <v>291</v>
      </c>
      <c r="X461" t="s">
        <v>892</v>
      </c>
      <c r="Y461">
        <v>1</v>
      </c>
      <c r="AA461" s="13">
        <f t="shared" si="30"/>
        <v>70550</v>
      </c>
      <c r="AE461" s="43"/>
      <c r="AL461" s="87" t="s">
        <v>819</v>
      </c>
      <c r="AM461" s="86">
        <v>341530</v>
      </c>
    </row>
    <row r="462" spans="13:39" hidden="1">
      <c r="M462" s="131">
        <v>70555</v>
      </c>
      <c r="N462" s="223">
        <v>530975</v>
      </c>
      <c r="O462" s="132" t="s">
        <v>244</v>
      </c>
      <c r="P462" s="132" t="s">
        <v>245</v>
      </c>
      <c r="Q462" s="133">
        <v>1121</v>
      </c>
      <c r="R462" s="132" t="s">
        <v>279</v>
      </c>
      <c r="S462" s="132" t="s">
        <v>11</v>
      </c>
      <c r="T462" s="134">
        <v>42548</v>
      </c>
      <c r="U462" s="172">
        <f t="shared" si="31"/>
        <v>2016</v>
      </c>
      <c r="V462" s="172">
        <f t="shared" si="32"/>
        <v>6</v>
      </c>
      <c r="W462" s="44" t="s">
        <v>280</v>
      </c>
      <c r="X462" t="s">
        <v>892</v>
      </c>
      <c r="Y462">
        <v>1</v>
      </c>
      <c r="AA462" s="13">
        <f t="shared" si="30"/>
        <v>70555</v>
      </c>
      <c r="AE462" s="43"/>
      <c r="AL462" s="87" t="s">
        <v>819</v>
      </c>
      <c r="AM462" s="86">
        <v>342375</v>
      </c>
    </row>
    <row r="463" spans="13:39" hidden="1">
      <c r="M463" s="131">
        <v>70600</v>
      </c>
      <c r="N463" s="223">
        <v>556034</v>
      </c>
      <c r="O463" s="132" t="s">
        <v>244</v>
      </c>
      <c r="P463" s="132" t="s">
        <v>245</v>
      </c>
      <c r="Q463" s="133">
        <v>1283</v>
      </c>
      <c r="R463" s="132" t="s">
        <v>279</v>
      </c>
      <c r="S463" s="132" t="s">
        <v>11</v>
      </c>
      <c r="T463" s="134">
        <v>42548</v>
      </c>
      <c r="U463" s="172">
        <f t="shared" si="31"/>
        <v>2016</v>
      </c>
      <c r="V463" s="172">
        <f t="shared" si="32"/>
        <v>6</v>
      </c>
      <c r="W463" s="44" t="s">
        <v>280</v>
      </c>
      <c r="X463" t="s">
        <v>892</v>
      </c>
      <c r="Y463">
        <v>1</v>
      </c>
      <c r="AA463" s="13">
        <f t="shared" si="30"/>
        <v>70600</v>
      </c>
      <c r="AE463" s="43"/>
      <c r="AL463" s="87" t="s">
        <v>819</v>
      </c>
      <c r="AM463" s="86">
        <v>3424159</v>
      </c>
    </row>
    <row r="464" spans="13:39" hidden="1">
      <c r="M464" s="131">
        <v>70755</v>
      </c>
      <c r="N464" s="223">
        <v>473508</v>
      </c>
      <c r="O464" s="132" t="s">
        <v>244</v>
      </c>
      <c r="P464" s="132" t="s">
        <v>245</v>
      </c>
      <c r="Q464" s="133">
        <v>181</v>
      </c>
      <c r="R464" s="132" t="s">
        <v>279</v>
      </c>
      <c r="S464" s="132" t="s">
        <v>11</v>
      </c>
      <c r="T464" s="134">
        <v>42246</v>
      </c>
      <c r="U464" s="172">
        <f t="shared" si="31"/>
        <v>2015</v>
      </c>
      <c r="V464" s="172">
        <f t="shared" si="32"/>
        <v>8</v>
      </c>
      <c r="W464" s="44" t="s">
        <v>291</v>
      </c>
      <c r="X464" t="s">
        <v>892</v>
      </c>
      <c r="Y464">
        <v>1</v>
      </c>
      <c r="AA464" s="13">
        <f t="shared" si="30"/>
        <v>70755</v>
      </c>
      <c r="AE464" s="43"/>
      <c r="AL464" s="87" t="s">
        <v>819</v>
      </c>
      <c r="AM464" s="86">
        <v>34358453</v>
      </c>
    </row>
    <row r="465" spans="13:39" hidden="1">
      <c r="M465" s="131">
        <v>71000</v>
      </c>
      <c r="N465" s="223">
        <v>623540</v>
      </c>
      <c r="O465" s="132" t="s">
        <v>244</v>
      </c>
      <c r="P465" s="132" t="s">
        <v>245</v>
      </c>
      <c r="Q465" s="133">
        <v>1388</v>
      </c>
      <c r="R465" s="132" t="s">
        <v>279</v>
      </c>
      <c r="S465" s="132" t="s">
        <v>11</v>
      </c>
      <c r="T465" s="134">
        <v>42548</v>
      </c>
      <c r="U465" s="172">
        <f t="shared" si="31"/>
        <v>2016</v>
      </c>
      <c r="V465" s="172">
        <f t="shared" si="32"/>
        <v>6</v>
      </c>
      <c r="W465" s="44" t="s">
        <v>280</v>
      </c>
      <c r="X465" t="s">
        <v>892</v>
      </c>
      <c r="Y465">
        <v>1</v>
      </c>
      <c r="AA465" s="13">
        <f t="shared" si="30"/>
        <v>71000</v>
      </c>
      <c r="AE465" s="43"/>
      <c r="AL465" s="87" t="s">
        <v>819</v>
      </c>
      <c r="AM465" s="86">
        <v>34452848</v>
      </c>
    </row>
    <row r="466" spans="13:39" hidden="1">
      <c r="M466" s="131">
        <v>71007</v>
      </c>
      <c r="N466" s="223">
        <v>546921</v>
      </c>
      <c r="O466" s="132" t="s">
        <v>244</v>
      </c>
      <c r="P466" s="132" t="s">
        <v>245</v>
      </c>
      <c r="Q466" s="133">
        <v>1072</v>
      </c>
      <c r="R466" s="132" t="s">
        <v>279</v>
      </c>
      <c r="S466" s="132" t="s">
        <v>11</v>
      </c>
      <c r="T466" s="134">
        <v>42548</v>
      </c>
      <c r="U466" s="172">
        <f t="shared" si="31"/>
        <v>2016</v>
      </c>
      <c r="V466" s="172">
        <f t="shared" si="32"/>
        <v>6</v>
      </c>
      <c r="W466" s="44" t="s">
        <v>280</v>
      </c>
      <c r="X466" t="s">
        <v>892</v>
      </c>
      <c r="Y466">
        <v>1</v>
      </c>
      <c r="AA466" s="13">
        <f t="shared" si="30"/>
        <v>71007</v>
      </c>
      <c r="AE466" s="43"/>
      <c r="AL466" s="87" t="s">
        <v>819</v>
      </c>
      <c r="AM466" s="86">
        <v>345585</v>
      </c>
    </row>
    <row r="467" spans="13:39" hidden="1">
      <c r="M467" s="131">
        <v>71018</v>
      </c>
      <c r="N467" s="223">
        <v>568563</v>
      </c>
      <c r="O467" s="132" t="s">
        <v>244</v>
      </c>
      <c r="P467" s="132" t="s">
        <v>245</v>
      </c>
      <c r="Q467" s="133">
        <v>1497</v>
      </c>
      <c r="R467" s="132" t="s">
        <v>279</v>
      </c>
      <c r="S467" s="132" t="s">
        <v>11</v>
      </c>
      <c r="T467" s="134">
        <v>42548</v>
      </c>
      <c r="U467" s="172">
        <f t="shared" si="31"/>
        <v>2016</v>
      </c>
      <c r="V467" s="172">
        <f t="shared" si="32"/>
        <v>6</v>
      </c>
      <c r="W467" s="44" t="s">
        <v>280</v>
      </c>
      <c r="X467" t="s">
        <v>892</v>
      </c>
      <c r="Y467">
        <v>1</v>
      </c>
      <c r="AA467" s="13">
        <f t="shared" si="30"/>
        <v>71018</v>
      </c>
      <c r="AE467" s="43"/>
      <c r="AL467" s="87" t="s">
        <v>819</v>
      </c>
      <c r="AM467" s="86">
        <v>346616</v>
      </c>
    </row>
    <row r="468" spans="13:39" hidden="1">
      <c r="M468" s="131">
        <v>71099</v>
      </c>
      <c r="N468" s="223">
        <v>562299</v>
      </c>
      <c r="O468" s="132" t="s">
        <v>244</v>
      </c>
      <c r="P468" s="132" t="s">
        <v>245</v>
      </c>
      <c r="Q468" s="133">
        <v>1060</v>
      </c>
      <c r="R468" s="132" t="s">
        <v>279</v>
      </c>
      <c r="S468" s="132" t="s">
        <v>11</v>
      </c>
      <c r="T468" s="134">
        <v>42548</v>
      </c>
      <c r="U468" s="172">
        <f t="shared" si="31"/>
        <v>2016</v>
      </c>
      <c r="V468" s="172">
        <f t="shared" si="32"/>
        <v>6</v>
      </c>
      <c r="W468" s="44" t="s">
        <v>280</v>
      </c>
      <c r="X468" t="s">
        <v>892</v>
      </c>
      <c r="Y468">
        <v>1</v>
      </c>
      <c r="AA468" s="13">
        <f t="shared" si="30"/>
        <v>71099</v>
      </c>
      <c r="AE468" s="43"/>
      <c r="AL468" s="87" t="s">
        <v>819</v>
      </c>
      <c r="AM468" s="86">
        <v>3474848</v>
      </c>
    </row>
    <row r="469" spans="13:39" hidden="1">
      <c r="M469" s="131">
        <v>71300</v>
      </c>
      <c r="N469" s="223">
        <v>569133</v>
      </c>
      <c r="O469" s="132" t="s">
        <v>244</v>
      </c>
      <c r="P469" s="132" t="s">
        <v>245</v>
      </c>
      <c r="Q469" s="133">
        <v>1000</v>
      </c>
      <c r="R469" s="132" t="s">
        <v>279</v>
      </c>
      <c r="S469" s="132" t="s">
        <v>11</v>
      </c>
      <c r="T469" s="134">
        <v>42548</v>
      </c>
      <c r="U469" s="172">
        <f t="shared" si="31"/>
        <v>2016</v>
      </c>
      <c r="V469" s="172">
        <f t="shared" si="32"/>
        <v>6</v>
      </c>
      <c r="W469" s="44" t="s">
        <v>280</v>
      </c>
      <c r="X469" t="s">
        <v>892</v>
      </c>
      <c r="Y469">
        <v>1</v>
      </c>
      <c r="AA469" s="13">
        <f t="shared" si="30"/>
        <v>71300</v>
      </c>
      <c r="AE469" s="43"/>
      <c r="AL469" s="87" t="s">
        <v>819</v>
      </c>
      <c r="AM469" s="86">
        <v>348160</v>
      </c>
    </row>
    <row r="470" spans="13:39" hidden="1">
      <c r="M470" s="131">
        <v>71380</v>
      </c>
      <c r="N470" s="223">
        <v>524375</v>
      </c>
      <c r="O470" s="132" t="s">
        <v>244</v>
      </c>
      <c r="P470" s="132" t="s">
        <v>245</v>
      </c>
      <c r="Q470" s="133">
        <v>670</v>
      </c>
      <c r="R470" s="132" t="s">
        <v>279</v>
      </c>
      <c r="S470" s="132" t="s">
        <v>11</v>
      </c>
      <c r="T470" s="134">
        <v>42246</v>
      </c>
      <c r="U470" s="172">
        <f t="shared" si="31"/>
        <v>2015</v>
      </c>
      <c r="V470" s="172">
        <f t="shared" si="32"/>
        <v>8</v>
      </c>
      <c r="W470" s="44" t="s">
        <v>291</v>
      </c>
      <c r="X470" t="s">
        <v>892</v>
      </c>
      <c r="Y470">
        <v>1</v>
      </c>
      <c r="AA470" s="13">
        <f t="shared" si="30"/>
        <v>71380</v>
      </c>
      <c r="AE470" s="43"/>
      <c r="AL470" s="87" t="s">
        <v>819</v>
      </c>
      <c r="AM470" s="86">
        <v>35049486</v>
      </c>
    </row>
    <row r="471" spans="13:39" hidden="1">
      <c r="M471" s="131">
        <v>71486</v>
      </c>
      <c r="N471" s="223">
        <v>558881</v>
      </c>
      <c r="O471" s="132" t="s">
        <v>244</v>
      </c>
      <c r="P471" s="132" t="s">
        <v>245</v>
      </c>
      <c r="Q471" s="133">
        <v>1062</v>
      </c>
      <c r="R471" s="132" t="s">
        <v>279</v>
      </c>
      <c r="S471" s="132" t="s">
        <v>11</v>
      </c>
      <c r="T471" s="134">
        <v>42548</v>
      </c>
      <c r="U471" s="172">
        <f t="shared" si="31"/>
        <v>2016</v>
      </c>
      <c r="V471" s="172">
        <f t="shared" si="32"/>
        <v>6</v>
      </c>
      <c r="W471" s="44" t="s">
        <v>280</v>
      </c>
      <c r="X471" t="s">
        <v>892</v>
      </c>
      <c r="Y471">
        <v>1</v>
      </c>
      <c r="AA471" s="13">
        <f t="shared" si="30"/>
        <v>71486</v>
      </c>
      <c r="AE471" s="43"/>
      <c r="AL471" s="87" t="s">
        <v>819</v>
      </c>
      <c r="AM471" s="86">
        <v>350642</v>
      </c>
    </row>
    <row r="472" spans="13:39" hidden="1">
      <c r="M472" s="131">
        <v>71488</v>
      </c>
      <c r="N472" s="223">
        <v>557742</v>
      </c>
      <c r="O472" s="132" t="s">
        <v>244</v>
      </c>
      <c r="P472" s="132" t="s">
        <v>245</v>
      </c>
      <c r="Q472" s="133">
        <v>1061</v>
      </c>
      <c r="R472" s="132" t="s">
        <v>279</v>
      </c>
      <c r="S472" s="132" t="s">
        <v>11</v>
      </c>
      <c r="T472" s="134">
        <v>42548</v>
      </c>
      <c r="U472" s="172">
        <f t="shared" si="31"/>
        <v>2016</v>
      </c>
      <c r="V472" s="172">
        <f t="shared" si="32"/>
        <v>6</v>
      </c>
      <c r="W472" s="44" t="s">
        <v>280</v>
      </c>
      <c r="X472" t="s">
        <v>892</v>
      </c>
      <c r="Y472">
        <v>1</v>
      </c>
      <c r="AA472" s="13">
        <f t="shared" si="30"/>
        <v>71488</v>
      </c>
      <c r="AE472" s="43"/>
      <c r="AL472" s="87" t="s">
        <v>819</v>
      </c>
      <c r="AM472" s="86">
        <v>350664</v>
      </c>
    </row>
    <row r="473" spans="13:39" hidden="1">
      <c r="M473" s="131">
        <v>71604</v>
      </c>
      <c r="N473" s="223">
        <v>478174</v>
      </c>
      <c r="O473" s="132" t="s">
        <v>244</v>
      </c>
      <c r="P473" s="132" t="s">
        <v>245</v>
      </c>
      <c r="Q473" s="133">
        <v>1362</v>
      </c>
      <c r="R473" s="132" t="s">
        <v>279</v>
      </c>
      <c r="S473" s="132" t="s">
        <v>11</v>
      </c>
      <c r="T473" s="134">
        <v>42548</v>
      </c>
      <c r="U473" s="172">
        <f t="shared" si="31"/>
        <v>2016</v>
      </c>
      <c r="V473" s="172">
        <f t="shared" si="32"/>
        <v>6</v>
      </c>
      <c r="W473" s="44" t="s">
        <v>280</v>
      </c>
      <c r="X473" t="s">
        <v>892</v>
      </c>
      <c r="Y473">
        <v>1</v>
      </c>
      <c r="AA473" s="13">
        <f t="shared" si="30"/>
        <v>71604</v>
      </c>
      <c r="AE473" s="43"/>
      <c r="AL473" s="87" t="s">
        <v>819</v>
      </c>
      <c r="AM473" s="86">
        <v>350812</v>
      </c>
    </row>
    <row r="474" spans="13:39" hidden="1">
      <c r="M474" s="131">
        <v>71918</v>
      </c>
      <c r="N474" s="223">
        <v>545782</v>
      </c>
      <c r="O474" s="132" t="s">
        <v>244</v>
      </c>
      <c r="P474" s="132" t="s">
        <v>245</v>
      </c>
      <c r="Q474" s="133">
        <v>1211</v>
      </c>
      <c r="R474" s="132" t="s">
        <v>279</v>
      </c>
      <c r="S474" s="132" t="s">
        <v>11</v>
      </c>
      <c r="T474" s="134">
        <v>42548</v>
      </c>
      <c r="U474" s="172">
        <f t="shared" si="31"/>
        <v>2016</v>
      </c>
      <c r="V474" s="172">
        <f t="shared" si="32"/>
        <v>6</v>
      </c>
      <c r="W474" s="44" t="s">
        <v>280</v>
      </c>
      <c r="X474" t="s">
        <v>892</v>
      </c>
      <c r="Y474">
        <v>1</v>
      </c>
      <c r="AA474" s="13">
        <f t="shared" si="30"/>
        <v>71918</v>
      </c>
      <c r="AE474" s="43"/>
      <c r="AL474" s="87" t="s">
        <v>819</v>
      </c>
      <c r="AM474" s="86">
        <v>350812</v>
      </c>
    </row>
    <row r="475" spans="13:39" hidden="1">
      <c r="M475" s="131">
        <v>72000</v>
      </c>
      <c r="N475" s="223">
        <v>564007</v>
      </c>
      <c r="O475" s="132" t="s">
        <v>244</v>
      </c>
      <c r="P475" s="132" t="s">
        <v>245</v>
      </c>
      <c r="Q475" s="133">
        <v>1066</v>
      </c>
      <c r="R475" s="132" t="s">
        <v>279</v>
      </c>
      <c r="S475" s="132" t="s">
        <v>11</v>
      </c>
      <c r="T475" s="134">
        <v>42548</v>
      </c>
      <c r="U475" s="172">
        <f t="shared" si="31"/>
        <v>2016</v>
      </c>
      <c r="V475" s="172">
        <f t="shared" si="32"/>
        <v>6</v>
      </c>
      <c r="W475" s="44" t="s">
        <v>280</v>
      </c>
      <c r="X475" t="s">
        <v>892</v>
      </c>
      <c r="Y475">
        <v>1</v>
      </c>
      <c r="AA475" s="13">
        <f t="shared" si="30"/>
        <v>72000</v>
      </c>
      <c r="AE475" s="43"/>
      <c r="AL475" s="87" t="s">
        <v>819</v>
      </c>
      <c r="AM475" s="86">
        <v>350812</v>
      </c>
    </row>
    <row r="476" spans="13:39" hidden="1">
      <c r="M476" s="131">
        <v>72002</v>
      </c>
      <c r="N476" s="223">
        <v>470201</v>
      </c>
      <c r="O476" s="132" t="s">
        <v>244</v>
      </c>
      <c r="P476" s="132" t="s">
        <v>245</v>
      </c>
      <c r="Q476" s="133">
        <v>1165</v>
      </c>
      <c r="R476" s="132" t="s">
        <v>279</v>
      </c>
      <c r="S476" s="132" t="s">
        <v>11</v>
      </c>
      <c r="T476" s="134">
        <v>42548</v>
      </c>
      <c r="U476" s="172">
        <f t="shared" si="31"/>
        <v>2016</v>
      </c>
      <c r="V476" s="172">
        <f t="shared" si="32"/>
        <v>6</v>
      </c>
      <c r="W476" s="44" t="s">
        <v>280</v>
      </c>
      <c r="X476" t="s">
        <v>892</v>
      </c>
      <c r="Y476">
        <v>1</v>
      </c>
      <c r="AA476" s="13">
        <f t="shared" si="30"/>
        <v>72002</v>
      </c>
      <c r="AE476" s="43"/>
      <c r="AL476" s="87" t="s">
        <v>819</v>
      </c>
      <c r="AM476" s="86">
        <v>350812</v>
      </c>
    </row>
    <row r="477" spans="13:39" hidden="1">
      <c r="M477" s="131">
        <v>72005</v>
      </c>
      <c r="N477" s="223">
        <v>482430</v>
      </c>
      <c r="O477" s="132" t="s">
        <v>244</v>
      </c>
      <c r="P477" s="132" t="s">
        <v>245</v>
      </c>
      <c r="Q477" s="133">
        <v>281</v>
      </c>
      <c r="R477" s="132" t="s">
        <v>279</v>
      </c>
      <c r="S477" s="132" t="s">
        <v>11</v>
      </c>
      <c r="T477" s="134">
        <v>42246</v>
      </c>
      <c r="U477" s="172">
        <f t="shared" si="31"/>
        <v>2015</v>
      </c>
      <c r="V477" s="172">
        <f t="shared" si="32"/>
        <v>8</v>
      </c>
      <c r="W477" s="44" t="s">
        <v>291</v>
      </c>
      <c r="X477" t="s">
        <v>892</v>
      </c>
      <c r="Y477">
        <v>1</v>
      </c>
      <c r="AA477" s="13">
        <f t="shared" si="30"/>
        <v>72005</v>
      </c>
      <c r="AE477" s="43"/>
      <c r="AL477" s="87" t="s">
        <v>819</v>
      </c>
      <c r="AM477" s="86">
        <v>350812</v>
      </c>
    </row>
    <row r="478" spans="13:39" hidden="1">
      <c r="M478" s="131">
        <v>72040</v>
      </c>
      <c r="N478" s="223">
        <v>546921</v>
      </c>
      <c r="O478" s="132" t="s">
        <v>244</v>
      </c>
      <c r="P478" s="132" t="s">
        <v>245</v>
      </c>
      <c r="Q478" s="133">
        <v>1106</v>
      </c>
      <c r="R478" s="132" t="s">
        <v>279</v>
      </c>
      <c r="S478" s="132" t="s">
        <v>11</v>
      </c>
      <c r="T478" s="134">
        <v>42548</v>
      </c>
      <c r="U478" s="172">
        <f t="shared" si="31"/>
        <v>2016</v>
      </c>
      <c r="V478" s="172">
        <f t="shared" si="32"/>
        <v>6</v>
      </c>
      <c r="W478" s="44" t="s">
        <v>280</v>
      </c>
      <c r="X478" t="s">
        <v>892</v>
      </c>
      <c r="Y478">
        <v>1</v>
      </c>
      <c r="AA478" s="13">
        <f t="shared" si="30"/>
        <v>72040</v>
      </c>
      <c r="AE478" s="43"/>
      <c r="AL478" s="87" t="s">
        <v>819</v>
      </c>
      <c r="AM478" s="86">
        <v>350812</v>
      </c>
    </row>
    <row r="479" spans="13:39" hidden="1">
      <c r="M479" s="131">
        <v>72324</v>
      </c>
      <c r="N479" s="223">
        <v>570272</v>
      </c>
      <c r="O479" s="132" t="s">
        <v>244</v>
      </c>
      <c r="P479" s="132" t="s">
        <v>245</v>
      </c>
      <c r="Q479" s="133">
        <v>1529</v>
      </c>
      <c r="R479" s="132" t="s">
        <v>279</v>
      </c>
      <c r="S479" s="132" t="s">
        <v>11</v>
      </c>
      <c r="T479" s="134">
        <v>42548</v>
      </c>
      <c r="U479" s="172">
        <f t="shared" si="31"/>
        <v>2016</v>
      </c>
      <c r="V479" s="172">
        <f t="shared" si="32"/>
        <v>6</v>
      </c>
      <c r="W479" s="44" t="s">
        <v>280</v>
      </c>
      <c r="X479" t="s">
        <v>892</v>
      </c>
      <c r="Y479">
        <v>1</v>
      </c>
      <c r="AA479" s="13">
        <f t="shared" si="30"/>
        <v>72324</v>
      </c>
      <c r="AE479" s="43"/>
      <c r="AL479" s="87" t="s">
        <v>819</v>
      </c>
      <c r="AM479" s="86">
        <v>350812</v>
      </c>
    </row>
    <row r="480" spans="13:39" hidden="1">
      <c r="M480" s="131">
        <v>72520</v>
      </c>
      <c r="N480" s="223">
        <v>544643</v>
      </c>
      <c r="O480" s="132" t="s">
        <v>244</v>
      </c>
      <c r="P480" s="132" t="s">
        <v>245</v>
      </c>
      <c r="Q480" s="133">
        <v>1074</v>
      </c>
      <c r="R480" s="132" t="s">
        <v>279</v>
      </c>
      <c r="S480" s="132" t="s">
        <v>11</v>
      </c>
      <c r="T480" s="134">
        <v>42548</v>
      </c>
      <c r="U480" s="172">
        <f t="shared" si="31"/>
        <v>2016</v>
      </c>
      <c r="V480" s="172">
        <f t="shared" si="32"/>
        <v>6</v>
      </c>
      <c r="W480" s="44" t="s">
        <v>280</v>
      </c>
      <c r="X480" t="s">
        <v>892</v>
      </c>
      <c r="Y480">
        <v>1</v>
      </c>
      <c r="AA480" s="13">
        <f t="shared" si="30"/>
        <v>72520</v>
      </c>
      <c r="AE480" s="43"/>
      <c r="AL480" s="87" t="s">
        <v>819</v>
      </c>
      <c r="AM480" s="86">
        <v>350812</v>
      </c>
    </row>
    <row r="481" spans="13:39" hidden="1">
      <c r="M481" s="131">
        <v>72950</v>
      </c>
      <c r="N481" s="223">
        <v>489368</v>
      </c>
      <c r="O481" s="132" t="s">
        <v>244</v>
      </c>
      <c r="P481" s="132" t="s">
        <v>245</v>
      </c>
      <c r="Q481" s="133">
        <v>311</v>
      </c>
      <c r="R481" s="132" t="s">
        <v>279</v>
      </c>
      <c r="S481" s="132" t="s">
        <v>11</v>
      </c>
      <c r="T481" s="134">
        <v>42246</v>
      </c>
      <c r="U481" s="172">
        <f t="shared" si="31"/>
        <v>2015</v>
      </c>
      <c r="V481" s="172">
        <f t="shared" si="32"/>
        <v>8</v>
      </c>
      <c r="W481" s="44" t="s">
        <v>291</v>
      </c>
      <c r="X481" t="s">
        <v>892</v>
      </c>
      <c r="Y481">
        <v>1</v>
      </c>
      <c r="AA481" s="13">
        <f t="shared" si="30"/>
        <v>72950</v>
      </c>
      <c r="AE481" s="43"/>
      <c r="AL481" s="87" t="s">
        <v>819</v>
      </c>
      <c r="AM481" s="86">
        <v>350812</v>
      </c>
    </row>
    <row r="482" spans="13:39" hidden="1">
      <c r="M482" s="131">
        <v>72972</v>
      </c>
      <c r="N482" s="223">
        <v>486394</v>
      </c>
      <c r="O482" s="132" t="s">
        <v>244</v>
      </c>
      <c r="P482" s="132" t="s">
        <v>245</v>
      </c>
      <c r="Q482" s="133">
        <v>111</v>
      </c>
      <c r="R482" s="132" t="s">
        <v>279</v>
      </c>
      <c r="S482" s="132" t="s">
        <v>11</v>
      </c>
      <c r="T482" s="134">
        <v>42246</v>
      </c>
      <c r="U482" s="172">
        <f t="shared" si="31"/>
        <v>2015</v>
      </c>
      <c r="V482" s="172">
        <f t="shared" si="32"/>
        <v>8</v>
      </c>
      <c r="W482" s="44" t="s">
        <v>291</v>
      </c>
      <c r="X482" t="s">
        <v>892</v>
      </c>
      <c r="Y482">
        <v>1</v>
      </c>
      <c r="AA482" s="13">
        <f t="shared" si="30"/>
        <v>72972</v>
      </c>
      <c r="AE482" s="43"/>
      <c r="AL482" s="87" t="s">
        <v>819</v>
      </c>
      <c r="AM482" s="86">
        <v>352806</v>
      </c>
    </row>
    <row r="483" spans="13:39" hidden="1">
      <c r="M483" s="131">
        <v>73000</v>
      </c>
      <c r="N483" s="223">
        <v>471909</v>
      </c>
      <c r="O483" s="132" t="s">
        <v>244</v>
      </c>
      <c r="P483" s="132" t="s">
        <v>245</v>
      </c>
      <c r="Q483" s="133">
        <v>1451</v>
      </c>
      <c r="R483" s="132" t="s">
        <v>279</v>
      </c>
      <c r="S483" s="132" t="s">
        <v>11</v>
      </c>
      <c r="T483" s="134">
        <v>42548</v>
      </c>
      <c r="U483" s="172">
        <f t="shared" si="31"/>
        <v>2016</v>
      </c>
      <c r="V483" s="172">
        <f t="shared" si="32"/>
        <v>6</v>
      </c>
      <c r="W483" s="44" t="s">
        <v>280</v>
      </c>
      <c r="X483" t="s">
        <v>892</v>
      </c>
      <c r="Y483">
        <v>1</v>
      </c>
      <c r="AA483" s="13">
        <f t="shared" si="30"/>
        <v>73000</v>
      </c>
      <c r="AE483" s="43"/>
      <c r="AL483" s="87" t="s">
        <v>819</v>
      </c>
      <c r="AM483" s="86">
        <v>352806</v>
      </c>
    </row>
    <row r="484" spans="13:39" hidden="1">
      <c r="M484" s="131">
        <v>73000</v>
      </c>
      <c r="N484" s="223">
        <v>541796</v>
      </c>
      <c r="O484" s="132" t="s">
        <v>244</v>
      </c>
      <c r="P484" s="132" t="s">
        <v>245</v>
      </c>
      <c r="Q484" s="133">
        <v>1580</v>
      </c>
      <c r="R484" s="132" t="s">
        <v>279</v>
      </c>
      <c r="S484" s="132" t="s">
        <v>11</v>
      </c>
      <c r="T484" s="134">
        <v>42548</v>
      </c>
      <c r="U484" s="172">
        <f t="shared" si="31"/>
        <v>2016</v>
      </c>
      <c r="V484" s="172">
        <f t="shared" si="32"/>
        <v>6</v>
      </c>
      <c r="W484" s="44" t="s">
        <v>280</v>
      </c>
      <c r="X484" t="s">
        <v>892</v>
      </c>
      <c r="Y484">
        <v>1</v>
      </c>
      <c r="AA484" s="13">
        <f t="shared" si="30"/>
        <v>73000</v>
      </c>
      <c r="AE484" s="43"/>
      <c r="AL484" s="87" t="s">
        <v>819</v>
      </c>
      <c r="AM484" s="86">
        <v>354127</v>
      </c>
    </row>
    <row r="485" spans="13:39" hidden="1">
      <c r="M485" s="131">
        <v>73000</v>
      </c>
      <c r="N485" s="223">
        <v>544074</v>
      </c>
      <c r="O485" s="132" t="s">
        <v>244</v>
      </c>
      <c r="P485" s="132" t="s">
        <v>245</v>
      </c>
      <c r="Q485" s="133">
        <v>1460</v>
      </c>
      <c r="R485" s="132" t="s">
        <v>279</v>
      </c>
      <c r="S485" s="132" t="s">
        <v>11</v>
      </c>
      <c r="T485" s="134">
        <v>42548</v>
      </c>
      <c r="U485" s="172">
        <f t="shared" si="31"/>
        <v>2016</v>
      </c>
      <c r="V485" s="172">
        <f t="shared" si="32"/>
        <v>6</v>
      </c>
      <c r="W485" s="44" t="s">
        <v>280</v>
      </c>
      <c r="X485" t="s">
        <v>892</v>
      </c>
      <c r="Y485">
        <v>1</v>
      </c>
      <c r="AA485" s="13">
        <f t="shared" si="30"/>
        <v>73000</v>
      </c>
      <c r="AE485" s="43"/>
      <c r="AL485" s="87" t="s">
        <v>819</v>
      </c>
      <c r="AM485" s="86">
        <v>3541413</v>
      </c>
    </row>
    <row r="486" spans="13:39" hidden="1">
      <c r="M486" s="131">
        <v>74000</v>
      </c>
      <c r="N486" s="223">
        <v>578246</v>
      </c>
      <c r="O486" s="132" t="s">
        <v>244</v>
      </c>
      <c r="P486" s="132" t="s">
        <v>245</v>
      </c>
      <c r="Q486" s="133">
        <v>1495</v>
      </c>
      <c r="R486" s="132" t="s">
        <v>279</v>
      </c>
      <c r="S486" s="132" t="s">
        <v>11</v>
      </c>
      <c r="T486" s="134">
        <v>42548</v>
      </c>
      <c r="U486" s="172">
        <f t="shared" si="31"/>
        <v>2016</v>
      </c>
      <c r="V486" s="172">
        <f t="shared" si="32"/>
        <v>6</v>
      </c>
      <c r="W486" s="44" t="s">
        <v>280</v>
      </c>
      <c r="X486" t="s">
        <v>892</v>
      </c>
      <c r="Y486">
        <v>1</v>
      </c>
      <c r="AA486" s="13">
        <f t="shared" si="30"/>
        <v>74000</v>
      </c>
      <c r="AE486" s="43"/>
      <c r="AL486" s="87" t="s">
        <v>819</v>
      </c>
      <c r="AM486" s="86">
        <v>354790</v>
      </c>
    </row>
    <row r="487" spans="13:39" hidden="1">
      <c r="M487" s="131">
        <v>74018</v>
      </c>
      <c r="N487" s="223">
        <v>563437</v>
      </c>
      <c r="O487" s="132" t="s">
        <v>244</v>
      </c>
      <c r="P487" s="132" t="s">
        <v>245</v>
      </c>
      <c r="Q487" s="133">
        <v>204</v>
      </c>
      <c r="R487" s="132" t="s">
        <v>279</v>
      </c>
      <c r="S487" s="132" t="s">
        <v>11</v>
      </c>
      <c r="T487" s="134">
        <v>42548</v>
      </c>
      <c r="U487" s="172">
        <f t="shared" si="31"/>
        <v>2016</v>
      </c>
      <c r="V487" s="172">
        <f t="shared" si="32"/>
        <v>6</v>
      </c>
      <c r="W487" s="44" t="s">
        <v>280</v>
      </c>
      <c r="X487" t="s">
        <v>892</v>
      </c>
      <c r="Y487">
        <v>1</v>
      </c>
      <c r="AA487" s="13">
        <f t="shared" si="30"/>
        <v>74018</v>
      </c>
      <c r="AE487" s="43"/>
      <c r="AL487" s="87" t="s">
        <v>819</v>
      </c>
      <c r="AM487" s="86">
        <v>3564720</v>
      </c>
    </row>
    <row r="488" spans="13:39" hidden="1">
      <c r="M488" s="131">
        <v>74100</v>
      </c>
      <c r="N488" s="223">
        <v>514458</v>
      </c>
      <c r="O488" s="132" t="s">
        <v>244</v>
      </c>
      <c r="P488" s="132" t="s">
        <v>245</v>
      </c>
      <c r="Q488" s="133">
        <v>1449</v>
      </c>
      <c r="R488" s="132" t="s">
        <v>279</v>
      </c>
      <c r="S488" s="132" t="s">
        <v>11</v>
      </c>
      <c r="T488" s="134">
        <v>42548</v>
      </c>
      <c r="U488" s="172">
        <f t="shared" si="31"/>
        <v>2016</v>
      </c>
      <c r="V488" s="172">
        <f t="shared" si="32"/>
        <v>6</v>
      </c>
      <c r="W488" s="44" t="s">
        <v>280</v>
      </c>
      <c r="X488" t="s">
        <v>892</v>
      </c>
      <c r="Y488">
        <v>1</v>
      </c>
      <c r="AA488" s="13">
        <f t="shared" si="30"/>
        <v>74100</v>
      </c>
      <c r="AE488" s="43"/>
      <c r="AL488" s="87" t="s">
        <v>819</v>
      </c>
      <c r="AM488" s="86">
        <v>35725827</v>
      </c>
    </row>
    <row r="489" spans="13:39" hidden="1">
      <c r="M489" s="131">
        <v>74100</v>
      </c>
      <c r="N489" s="223">
        <v>514458</v>
      </c>
      <c r="O489" s="132" t="s">
        <v>244</v>
      </c>
      <c r="P489" s="132" t="s">
        <v>245</v>
      </c>
      <c r="Q489" s="133">
        <v>1450</v>
      </c>
      <c r="R489" s="132" t="s">
        <v>279</v>
      </c>
      <c r="S489" s="132" t="s">
        <v>11</v>
      </c>
      <c r="T489" s="134">
        <v>42548</v>
      </c>
      <c r="U489" s="172">
        <f t="shared" si="31"/>
        <v>2016</v>
      </c>
      <c r="V489" s="172">
        <f t="shared" si="32"/>
        <v>6</v>
      </c>
      <c r="W489" s="44" t="s">
        <v>280</v>
      </c>
      <c r="X489" t="s">
        <v>892</v>
      </c>
      <c r="Y489">
        <v>1</v>
      </c>
      <c r="AA489" s="13">
        <f t="shared" si="30"/>
        <v>74100</v>
      </c>
      <c r="AE489" s="43"/>
      <c r="AL489" s="87" t="s">
        <v>819</v>
      </c>
      <c r="AM489" s="86">
        <v>35838387</v>
      </c>
    </row>
    <row r="490" spans="13:39" hidden="1">
      <c r="M490" s="131">
        <v>74100</v>
      </c>
      <c r="N490" s="223">
        <v>544643</v>
      </c>
      <c r="O490" s="132" t="s">
        <v>244</v>
      </c>
      <c r="P490" s="132" t="s">
        <v>245</v>
      </c>
      <c r="Q490" s="133">
        <v>1051</v>
      </c>
      <c r="R490" s="132" t="s">
        <v>279</v>
      </c>
      <c r="S490" s="132" t="s">
        <v>11</v>
      </c>
      <c r="T490" s="134">
        <v>42548</v>
      </c>
      <c r="U490" s="172">
        <f t="shared" si="31"/>
        <v>2016</v>
      </c>
      <c r="V490" s="172">
        <f t="shared" si="32"/>
        <v>6</v>
      </c>
      <c r="W490" s="44" t="s">
        <v>280</v>
      </c>
      <c r="X490" t="s">
        <v>892</v>
      </c>
      <c r="Y490">
        <v>1</v>
      </c>
      <c r="AA490" s="13">
        <f t="shared" si="30"/>
        <v>74100</v>
      </c>
      <c r="AE490" s="43"/>
      <c r="AL490" s="87" t="s">
        <v>819</v>
      </c>
      <c r="AM490" s="86">
        <v>359209</v>
      </c>
    </row>
    <row r="491" spans="13:39" hidden="1">
      <c r="M491" s="131">
        <v>74200</v>
      </c>
      <c r="N491" s="223">
        <v>542364</v>
      </c>
      <c r="O491" s="132" t="s">
        <v>244</v>
      </c>
      <c r="P491" s="132" t="s">
        <v>245</v>
      </c>
      <c r="Q491" s="133">
        <v>1075</v>
      </c>
      <c r="R491" s="132" t="s">
        <v>279</v>
      </c>
      <c r="S491" s="132" t="s">
        <v>11</v>
      </c>
      <c r="T491" s="134">
        <v>42548</v>
      </c>
      <c r="U491" s="172">
        <f t="shared" si="31"/>
        <v>2016</v>
      </c>
      <c r="V491" s="172">
        <f t="shared" si="32"/>
        <v>6</v>
      </c>
      <c r="W491" s="44" t="s">
        <v>280</v>
      </c>
      <c r="X491" t="s">
        <v>892</v>
      </c>
      <c r="Y491">
        <v>1</v>
      </c>
      <c r="AA491" s="13">
        <f t="shared" si="30"/>
        <v>74200</v>
      </c>
      <c r="AE491" s="43"/>
      <c r="AL491" s="87" t="s">
        <v>819</v>
      </c>
      <c r="AM491" s="86">
        <v>359430</v>
      </c>
    </row>
    <row r="492" spans="13:39" hidden="1">
      <c r="M492" s="131">
        <v>74600</v>
      </c>
      <c r="N492" s="223">
        <v>544643</v>
      </c>
      <c r="O492" s="132" t="s">
        <v>244</v>
      </c>
      <c r="P492" s="132" t="s">
        <v>245</v>
      </c>
      <c r="Q492" s="133">
        <v>1054</v>
      </c>
      <c r="R492" s="132" t="s">
        <v>279</v>
      </c>
      <c r="S492" s="132" t="s">
        <v>11</v>
      </c>
      <c r="T492" s="134">
        <v>42548</v>
      </c>
      <c r="U492" s="172">
        <f t="shared" si="31"/>
        <v>2016</v>
      </c>
      <c r="V492" s="172">
        <f t="shared" si="32"/>
        <v>6</v>
      </c>
      <c r="W492" s="44" t="s">
        <v>280</v>
      </c>
      <c r="X492" t="s">
        <v>892</v>
      </c>
      <c r="Y492">
        <v>1</v>
      </c>
      <c r="AA492" s="13">
        <f t="shared" si="30"/>
        <v>74600</v>
      </c>
      <c r="AE492" s="43"/>
      <c r="AL492" s="87" t="s">
        <v>819</v>
      </c>
      <c r="AM492" s="86">
        <v>359430</v>
      </c>
    </row>
    <row r="493" spans="13:39" hidden="1">
      <c r="M493" s="131">
        <v>74612</v>
      </c>
      <c r="N493" s="223">
        <v>469061</v>
      </c>
      <c r="O493" s="132" t="s">
        <v>244</v>
      </c>
      <c r="P493" s="132" t="s">
        <v>245</v>
      </c>
      <c r="Q493" s="133">
        <v>1587</v>
      </c>
      <c r="R493" s="132" t="s">
        <v>279</v>
      </c>
      <c r="S493" s="132" t="s">
        <v>11</v>
      </c>
      <c r="T493" s="134">
        <v>42548</v>
      </c>
      <c r="U493" s="172">
        <f t="shared" si="31"/>
        <v>2016</v>
      </c>
      <c r="V493" s="172">
        <f t="shared" si="32"/>
        <v>6</v>
      </c>
      <c r="W493" s="44" t="s">
        <v>280</v>
      </c>
      <c r="X493" t="s">
        <v>892</v>
      </c>
      <c r="Y493">
        <v>1</v>
      </c>
      <c r="AA493" s="13">
        <f t="shared" si="30"/>
        <v>74612</v>
      </c>
      <c r="AE493" s="43"/>
      <c r="AL493" s="87" t="s">
        <v>819</v>
      </c>
      <c r="AM493" s="86">
        <v>360093</v>
      </c>
    </row>
    <row r="494" spans="13:39" hidden="1">
      <c r="M494" s="131">
        <v>74671</v>
      </c>
      <c r="N494" s="223">
        <v>476979</v>
      </c>
      <c r="O494" s="132" t="s">
        <v>244</v>
      </c>
      <c r="P494" s="132" t="s">
        <v>245</v>
      </c>
      <c r="Q494" s="133">
        <v>381</v>
      </c>
      <c r="R494" s="132" t="s">
        <v>279</v>
      </c>
      <c r="S494" s="132" t="s">
        <v>11</v>
      </c>
      <c r="T494" s="134">
        <v>42246</v>
      </c>
      <c r="U494" s="172">
        <f t="shared" si="31"/>
        <v>2015</v>
      </c>
      <c r="V494" s="172">
        <f t="shared" si="32"/>
        <v>8</v>
      </c>
      <c r="W494" s="44" t="s">
        <v>291</v>
      </c>
      <c r="X494" t="s">
        <v>892</v>
      </c>
      <c r="Y494">
        <v>1</v>
      </c>
      <c r="AA494" s="13">
        <f t="shared" si="30"/>
        <v>74671</v>
      </c>
      <c r="AE494" s="43"/>
      <c r="AL494" s="87" t="s">
        <v>819</v>
      </c>
      <c r="AM494" s="86">
        <v>360430</v>
      </c>
    </row>
    <row r="495" spans="13:39" hidden="1">
      <c r="M495" s="131">
        <v>75000</v>
      </c>
      <c r="N495" s="223">
        <v>594761</v>
      </c>
      <c r="O495" s="132" t="s">
        <v>244</v>
      </c>
      <c r="P495" s="132" t="s">
        <v>245</v>
      </c>
      <c r="Q495" s="133">
        <v>1011</v>
      </c>
      <c r="R495" s="132" t="s">
        <v>279</v>
      </c>
      <c r="S495" s="132" t="s">
        <v>11</v>
      </c>
      <c r="T495" s="134">
        <v>42548</v>
      </c>
      <c r="U495" s="172">
        <f t="shared" si="31"/>
        <v>2016</v>
      </c>
      <c r="V495" s="172">
        <f t="shared" si="32"/>
        <v>6</v>
      </c>
      <c r="W495" s="44" t="s">
        <v>280</v>
      </c>
      <c r="X495" t="s">
        <v>892</v>
      </c>
      <c r="Y495">
        <v>1</v>
      </c>
      <c r="AA495" s="13">
        <f t="shared" si="30"/>
        <v>75000</v>
      </c>
      <c r="AE495" s="43"/>
      <c r="AL495" s="87" t="s">
        <v>819</v>
      </c>
      <c r="AM495" s="86">
        <v>360430</v>
      </c>
    </row>
    <row r="496" spans="13:39" hidden="1">
      <c r="M496" s="131">
        <v>75055</v>
      </c>
      <c r="N496" s="223">
        <v>496307</v>
      </c>
      <c r="O496" s="132" t="s">
        <v>244</v>
      </c>
      <c r="P496" s="132" t="s">
        <v>245</v>
      </c>
      <c r="Q496" s="133">
        <v>334</v>
      </c>
      <c r="R496" s="132" t="s">
        <v>279</v>
      </c>
      <c r="S496" s="132" t="s">
        <v>11</v>
      </c>
      <c r="T496" s="134">
        <v>42246</v>
      </c>
      <c r="U496" s="172">
        <f t="shared" si="31"/>
        <v>2015</v>
      </c>
      <c r="V496" s="172">
        <f t="shared" si="32"/>
        <v>8</v>
      </c>
      <c r="W496" s="44" t="s">
        <v>291</v>
      </c>
      <c r="X496" t="s">
        <v>892</v>
      </c>
      <c r="Y496">
        <v>1</v>
      </c>
      <c r="AA496" s="13">
        <f t="shared" si="30"/>
        <v>75055</v>
      </c>
      <c r="AE496" s="43"/>
      <c r="AL496" s="87" t="s">
        <v>819</v>
      </c>
      <c r="AM496" s="86">
        <v>361793</v>
      </c>
    </row>
    <row r="497" spans="13:39" hidden="1">
      <c r="M497" s="131">
        <v>75100</v>
      </c>
      <c r="N497" s="223">
        <v>542364</v>
      </c>
      <c r="O497" s="132" t="s">
        <v>244</v>
      </c>
      <c r="P497" s="132" t="s">
        <v>245</v>
      </c>
      <c r="Q497" s="133">
        <v>1476</v>
      </c>
      <c r="R497" s="132" t="s">
        <v>279</v>
      </c>
      <c r="S497" s="132" t="s">
        <v>11</v>
      </c>
      <c r="T497" s="134">
        <v>42548</v>
      </c>
      <c r="U497" s="172">
        <f t="shared" si="31"/>
        <v>2016</v>
      </c>
      <c r="V497" s="172">
        <f t="shared" si="32"/>
        <v>6</v>
      </c>
      <c r="W497" s="44" t="s">
        <v>280</v>
      </c>
      <c r="X497" t="s">
        <v>892</v>
      </c>
      <c r="Y497">
        <v>1</v>
      </c>
      <c r="AA497" s="13">
        <f t="shared" si="30"/>
        <v>75100</v>
      </c>
      <c r="AE497" s="43"/>
      <c r="AL497" s="87" t="s">
        <v>819</v>
      </c>
      <c r="AM497" s="86">
        <v>3620530</v>
      </c>
    </row>
    <row r="498" spans="13:39" hidden="1">
      <c r="M498" s="131">
        <v>75200</v>
      </c>
      <c r="N498" s="223">
        <v>484413</v>
      </c>
      <c r="O498" s="132" t="s">
        <v>244</v>
      </c>
      <c r="P498" s="132" t="s">
        <v>245</v>
      </c>
      <c r="Q498" s="133">
        <v>389</v>
      </c>
      <c r="R498" s="132" t="s">
        <v>279</v>
      </c>
      <c r="S498" s="132" t="s">
        <v>11</v>
      </c>
      <c r="T498" s="134">
        <v>42246</v>
      </c>
      <c r="U498" s="172">
        <f t="shared" si="31"/>
        <v>2015</v>
      </c>
      <c r="V498" s="172">
        <f t="shared" si="32"/>
        <v>8</v>
      </c>
      <c r="W498" s="44" t="s">
        <v>291</v>
      </c>
      <c r="X498" t="s">
        <v>892</v>
      </c>
      <c r="Y498">
        <v>1</v>
      </c>
      <c r="AA498" s="13">
        <f t="shared" si="30"/>
        <v>75200</v>
      </c>
      <c r="AE498" s="43"/>
      <c r="AL498" s="87" t="s">
        <v>819</v>
      </c>
      <c r="AM498" s="86">
        <v>362871</v>
      </c>
    </row>
    <row r="499" spans="13:39" hidden="1">
      <c r="M499" s="131">
        <v>75500</v>
      </c>
      <c r="N499" s="223">
        <v>548630</v>
      </c>
      <c r="O499" s="132" t="s">
        <v>244</v>
      </c>
      <c r="P499" s="132" t="s">
        <v>245</v>
      </c>
      <c r="Q499" s="133">
        <v>1344</v>
      </c>
      <c r="R499" s="132" t="s">
        <v>279</v>
      </c>
      <c r="S499" s="132" t="s">
        <v>11</v>
      </c>
      <c r="T499" s="134">
        <v>42548</v>
      </c>
      <c r="U499" s="172">
        <f t="shared" si="31"/>
        <v>2016</v>
      </c>
      <c r="V499" s="172">
        <f t="shared" si="32"/>
        <v>6</v>
      </c>
      <c r="W499" s="44" t="s">
        <v>280</v>
      </c>
      <c r="X499" t="s">
        <v>892</v>
      </c>
      <c r="Y499">
        <v>1</v>
      </c>
      <c r="AA499" s="13">
        <f t="shared" si="30"/>
        <v>75500</v>
      </c>
      <c r="AE499" s="43"/>
      <c r="AL499" s="87" t="s">
        <v>819</v>
      </c>
      <c r="AM499" s="86">
        <v>362871</v>
      </c>
    </row>
    <row r="500" spans="13:39" hidden="1">
      <c r="M500" s="131">
        <v>75505</v>
      </c>
      <c r="N500" s="223">
        <v>543504</v>
      </c>
      <c r="O500" s="132" t="s">
        <v>244</v>
      </c>
      <c r="P500" s="132" t="s">
        <v>245</v>
      </c>
      <c r="Q500" s="133">
        <v>1127</v>
      </c>
      <c r="R500" s="132" t="s">
        <v>279</v>
      </c>
      <c r="S500" s="132" t="s">
        <v>11</v>
      </c>
      <c r="T500" s="134">
        <v>42548</v>
      </c>
      <c r="U500" s="172">
        <f t="shared" si="31"/>
        <v>2016</v>
      </c>
      <c r="V500" s="172">
        <f t="shared" si="32"/>
        <v>6</v>
      </c>
      <c r="W500" s="44" t="s">
        <v>280</v>
      </c>
      <c r="X500" t="s">
        <v>892</v>
      </c>
      <c r="Y500">
        <v>1</v>
      </c>
      <c r="AA500" s="13">
        <f t="shared" si="30"/>
        <v>75505</v>
      </c>
      <c r="AE500" s="43"/>
      <c r="AL500" s="87" t="s">
        <v>819</v>
      </c>
      <c r="AM500" s="86">
        <v>364363</v>
      </c>
    </row>
    <row r="501" spans="13:39" hidden="1">
      <c r="M501" s="131">
        <v>75511</v>
      </c>
      <c r="N501" s="223">
        <v>474500</v>
      </c>
      <c r="O501" s="132" t="s">
        <v>244</v>
      </c>
      <c r="P501" s="132" t="s">
        <v>245</v>
      </c>
      <c r="Q501" s="133">
        <v>513</v>
      </c>
      <c r="R501" s="132" t="s">
        <v>279</v>
      </c>
      <c r="S501" s="132" t="s">
        <v>11</v>
      </c>
      <c r="T501" s="134">
        <v>42246</v>
      </c>
      <c r="U501" s="172">
        <f t="shared" si="31"/>
        <v>2015</v>
      </c>
      <c r="V501" s="172">
        <f t="shared" si="32"/>
        <v>8</v>
      </c>
      <c r="W501" s="44" t="s">
        <v>291</v>
      </c>
      <c r="X501" t="s">
        <v>892</v>
      </c>
      <c r="Y501">
        <v>1</v>
      </c>
      <c r="AA501" s="13">
        <f t="shared" si="30"/>
        <v>75511</v>
      </c>
      <c r="AE501" s="43"/>
      <c r="AL501" s="87" t="s">
        <v>819</v>
      </c>
      <c r="AM501" s="86">
        <v>36480001</v>
      </c>
    </row>
    <row r="502" spans="13:39" hidden="1">
      <c r="M502" s="131">
        <v>75555</v>
      </c>
      <c r="N502" s="223">
        <v>479951</v>
      </c>
      <c r="O502" s="132" t="s">
        <v>244</v>
      </c>
      <c r="P502" s="132" t="s">
        <v>245</v>
      </c>
      <c r="Q502" s="133">
        <v>63</v>
      </c>
      <c r="R502" s="132" t="s">
        <v>279</v>
      </c>
      <c r="S502" s="132" t="s">
        <v>11</v>
      </c>
      <c r="T502" s="134">
        <v>42246</v>
      </c>
      <c r="U502" s="172">
        <f t="shared" si="31"/>
        <v>2015</v>
      </c>
      <c r="V502" s="172">
        <f t="shared" si="32"/>
        <v>8</v>
      </c>
      <c r="W502" s="44" t="s">
        <v>291</v>
      </c>
      <c r="X502" t="s">
        <v>892</v>
      </c>
      <c r="Y502">
        <v>1</v>
      </c>
      <c r="AA502" s="13">
        <f t="shared" si="30"/>
        <v>75555</v>
      </c>
      <c r="AE502" s="43"/>
      <c r="AL502" s="87" t="s">
        <v>819</v>
      </c>
      <c r="AM502" s="86">
        <v>365703</v>
      </c>
    </row>
    <row r="503" spans="13:39" hidden="1">
      <c r="M503" s="131">
        <v>75556</v>
      </c>
      <c r="N503" s="223">
        <v>493828</v>
      </c>
      <c r="O503" s="132" t="s">
        <v>244</v>
      </c>
      <c r="P503" s="132" t="s">
        <v>245</v>
      </c>
      <c r="Q503" s="133">
        <v>408</v>
      </c>
      <c r="R503" s="132" t="s">
        <v>279</v>
      </c>
      <c r="S503" s="132" t="s">
        <v>11</v>
      </c>
      <c r="T503" s="134">
        <v>42246</v>
      </c>
      <c r="U503" s="172">
        <f t="shared" si="31"/>
        <v>2015</v>
      </c>
      <c r="V503" s="172">
        <f t="shared" si="32"/>
        <v>8</v>
      </c>
      <c r="W503" s="44" t="s">
        <v>291</v>
      </c>
      <c r="X503" t="s">
        <v>892</v>
      </c>
      <c r="Y503">
        <v>1</v>
      </c>
      <c r="AA503" s="13">
        <f t="shared" si="30"/>
        <v>75556</v>
      </c>
      <c r="AE503" s="43"/>
      <c r="AL503" s="87" t="s">
        <v>819</v>
      </c>
      <c r="AM503" s="86">
        <v>365892</v>
      </c>
    </row>
    <row r="504" spans="13:39" hidden="1">
      <c r="M504" s="131">
        <v>75912</v>
      </c>
      <c r="N504" s="223">
        <v>514458</v>
      </c>
      <c r="O504" s="132" t="s">
        <v>244</v>
      </c>
      <c r="P504" s="132" t="s">
        <v>245</v>
      </c>
      <c r="Q504" s="133">
        <v>1244</v>
      </c>
      <c r="R504" s="132" t="s">
        <v>279</v>
      </c>
      <c r="S504" s="132" t="s">
        <v>11</v>
      </c>
      <c r="T504" s="134">
        <v>42548</v>
      </c>
      <c r="U504" s="172">
        <f t="shared" si="31"/>
        <v>2016</v>
      </c>
      <c r="V504" s="172">
        <f t="shared" si="32"/>
        <v>6</v>
      </c>
      <c r="W504" s="44" t="s">
        <v>280</v>
      </c>
      <c r="X504" t="s">
        <v>892</v>
      </c>
      <c r="Y504">
        <v>1</v>
      </c>
      <c r="AA504" s="13">
        <f t="shared" si="30"/>
        <v>75912</v>
      </c>
      <c r="AE504" s="43"/>
      <c r="AL504" s="87" t="s">
        <v>819</v>
      </c>
      <c r="AM504" s="86">
        <v>366738</v>
      </c>
    </row>
    <row r="505" spans="13:39" hidden="1">
      <c r="M505" s="131">
        <v>76000</v>
      </c>
      <c r="N505" s="223">
        <v>479951</v>
      </c>
      <c r="O505" s="132" t="s">
        <v>244</v>
      </c>
      <c r="P505" s="132" t="s">
        <v>245</v>
      </c>
      <c r="Q505" s="133">
        <v>144</v>
      </c>
      <c r="R505" s="132" t="s">
        <v>279</v>
      </c>
      <c r="S505" s="132" t="s">
        <v>11</v>
      </c>
      <c r="T505" s="134">
        <v>42246</v>
      </c>
      <c r="U505" s="172">
        <f t="shared" si="31"/>
        <v>2015</v>
      </c>
      <c r="V505" s="172">
        <f t="shared" si="32"/>
        <v>8</v>
      </c>
      <c r="W505" s="44" t="s">
        <v>291</v>
      </c>
      <c r="X505" t="s">
        <v>892</v>
      </c>
      <c r="Y505">
        <v>1</v>
      </c>
      <c r="AA505" s="13">
        <f t="shared" si="30"/>
        <v>76000</v>
      </c>
      <c r="AE505" s="43"/>
      <c r="AL505" s="87" t="s">
        <v>819</v>
      </c>
      <c r="AM505" s="86">
        <v>366934</v>
      </c>
    </row>
    <row r="506" spans="13:39" hidden="1">
      <c r="M506" s="131">
        <v>76018</v>
      </c>
      <c r="N506" s="223">
        <v>591544</v>
      </c>
      <c r="O506" s="132" t="s">
        <v>244</v>
      </c>
      <c r="P506" s="132" t="s">
        <v>245</v>
      </c>
      <c r="Q506" s="133">
        <v>651</v>
      </c>
      <c r="R506" s="132" t="s">
        <v>279</v>
      </c>
      <c r="S506" s="132" t="s">
        <v>11</v>
      </c>
      <c r="T506" s="134">
        <v>42548</v>
      </c>
      <c r="U506" s="172">
        <f t="shared" si="31"/>
        <v>2016</v>
      </c>
      <c r="V506" s="172">
        <f t="shared" si="32"/>
        <v>6</v>
      </c>
      <c r="W506" s="44" t="s">
        <v>280</v>
      </c>
      <c r="X506" t="s">
        <v>892</v>
      </c>
      <c r="Y506">
        <v>1</v>
      </c>
      <c r="AA506" s="13">
        <f t="shared" si="30"/>
        <v>76018</v>
      </c>
      <c r="AE506" s="43"/>
      <c r="AL506" s="87" t="s">
        <v>819</v>
      </c>
      <c r="AM506" s="86">
        <v>36735180</v>
      </c>
    </row>
    <row r="507" spans="13:39" hidden="1">
      <c r="M507" s="131">
        <v>76600</v>
      </c>
      <c r="N507" s="223">
        <v>478174</v>
      </c>
      <c r="O507" s="132" t="s">
        <v>244</v>
      </c>
      <c r="P507" s="132" t="s">
        <v>245</v>
      </c>
      <c r="Q507" s="133">
        <v>1364</v>
      </c>
      <c r="R507" s="132" t="s">
        <v>279</v>
      </c>
      <c r="S507" s="132" t="s">
        <v>11</v>
      </c>
      <c r="T507" s="134">
        <v>42548</v>
      </c>
      <c r="U507" s="172">
        <f t="shared" si="31"/>
        <v>2016</v>
      </c>
      <c r="V507" s="172">
        <f t="shared" si="32"/>
        <v>6</v>
      </c>
      <c r="W507" s="44" t="s">
        <v>280</v>
      </c>
      <c r="X507" t="s">
        <v>892</v>
      </c>
      <c r="Y507">
        <v>1</v>
      </c>
      <c r="AA507" s="13">
        <f t="shared" si="30"/>
        <v>76600</v>
      </c>
      <c r="AE507" s="43"/>
      <c r="AL507" s="87" t="s">
        <v>819</v>
      </c>
      <c r="AM507" s="86">
        <v>367755</v>
      </c>
    </row>
    <row r="508" spans="13:39" hidden="1">
      <c r="M508" s="131">
        <v>76702</v>
      </c>
      <c r="N508" s="223">
        <v>570841</v>
      </c>
      <c r="O508" s="132" t="s">
        <v>244</v>
      </c>
      <c r="P508" s="132" t="s">
        <v>245</v>
      </c>
      <c r="Q508" s="133">
        <v>407</v>
      </c>
      <c r="R508" s="132" t="s">
        <v>279</v>
      </c>
      <c r="S508" s="132" t="s">
        <v>11</v>
      </c>
      <c r="T508" s="134">
        <v>42548</v>
      </c>
      <c r="U508" s="172">
        <f t="shared" si="31"/>
        <v>2016</v>
      </c>
      <c r="V508" s="172">
        <f t="shared" si="32"/>
        <v>6</v>
      </c>
      <c r="W508" s="44" t="s">
        <v>280</v>
      </c>
      <c r="X508" t="s">
        <v>892</v>
      </c>
      <c r="Y508">
        <v>1</v>
      </c>
      <c r="AA508" s="13">
        <f t="shared" si="30"/>
        <v>76702</v>
      </c>
      <c r="AE508" s="43"/>
      <c r="AL508" s="87" t="s">
        <v>819</v>
      </c>
      <c r="AM508" s="86">
        <v>368049</v>
      </c>
    </row>
    <row r="509" spans="13:39" hidden="1">
      <c r="M509" s="131">
        <v>76900</v>
      </c>
      <c r="N509" s="223">
        <v>554895</v>
      </c>
      <c r="O509" s="132" t="s">
        <v>244</v>
      </c>
      <c r="P509" s="132" t="s">
        <v>245</v>
      </c>
      <c r="Q509" s="133">
        <v>1097</v>
      </c>
      <c r="R509" s="132" t="s">
        <v>279</v>
      </c>
      <c r="S509" s="132" t="s">
        <v>11</v>
      </c>
      <c r="T509" s="134">
        <v>42548</v>
      </c>
      <c r="U509" s="172">
        <f t="shared" si="31"/>
        <v>2016</v>
      </c>
      <c r="V509" s="172">
        <f t="shared" si="32"/>
        <v>6</v>
      </c>
      <c r="W509" s="44" t="s">
        <v>280</v>
      </c>
      <c r="X509" t="s">
        <v>892</v>
      </c>
      <c r="Y509">
        <v>1</v>
      </c>
      <c r="AA509" s="13">
        <f t="shared" si="30"/>
        <v>76900</v>
      </c>
      <c r="AE509" s="43"/>
      <c r="AL509" s="87" t="s">
        <v>819</v>
      </c>
      <c r="AM509" s="86">
        <v>370547</v>
      </c>
    </row>
    <row r="510" spans="13:39" hidden="1">
      <c r="M510" s="131">
        <v>76999</v>
      </c>
      <c r="N510" s="223">
        <v>599318</v>
      </c>
      <c r="O510" s="132" t="s">
        <v>244</v>
      </c>
      <c r="P510" s="132" t="s">
        <v>245</v>
      </c>
      <c r="Q510" s="133">
        <v>1480</v>
      </c>
      <c r="R510" s="132" t="s">
        <v>279</v>
      </c>
      <c r="S510" s="132" t="s">
        <v>11</v>
      </c>
      <c r="T510" s="134">
        <v>42548</v>
      </c>
      <c r="U510" s="172">
        <f t="shared" si="31"/>
        <v>2016</v>
      </c>
      <c r="V510" s="172">
        <f t="shared" si="32"/>
        <v>6</v>
      </c>
      <c r="W510" s="44" t="s">
        <v>280</v>
      </c>
      <c r="X510" t="s">
        <v>892</v>
      </c>
      <c r="Y510">
        <v>1</v>
      </c>
      <c r="AA510" s="13">
        <f t="shared" si="30"/>
        <v>76999</v>
      </c>
      <c r="AE510" s="43"/>
      <c r="AL510" s="87" t="s">
        <v>819</v>
      </c>
      <c r="AM510" s="86">
        <v>372638</v>
      </c>
    </row>
    <row r="511" spans="13:39" hidden="1">
      <c r="M511" s="131">
        <v>77000</v>
      </c>
      <c r="N511" s="223">
        <v>470201</v>
      </c>
      <c r="O511" s="132" t="s">
        <v>244</v>
      </c>
      <c r="P511" s="132" t="s">
        <v>245</v>
      </c>
      <c r="Q511" s="133">
        <v>1361</v>
      </c>
      <c r="R511" s="132" t="s">
        <v>279</v>
      </c>
      <c r="S511" s="132" t="s">
        <v>11</v>
      </c>
      <c r="T511" s="134">
        <v>42548</v>
      </c>
      <c r="U511" s="172">
        <f t="shared" si="31"/>
        <v>2016</v>
      </c>
      <c r="V511" s="172">
        <f t="shared" si="32"/>
        <v>6</v>
      </c>
      <c r="W511" s="44" t="s">
        <v>280</v>
      </c>
      <c r="X511" t="s">
        <v>892</v>
      </c>
      <c r="Y511">
        <v>1</v>
      </c>
      <c r="AA511" s="13">
        <f t="shared" si="30"/>
        <v>77000</v>
      </c>
      <c r="AE511" s="43"/>
      <c r="AL511" s="87" t="s">
        <v>819</v>
      </c>
      <c r="AM511" s="86">
        <v>37339250</v>
      </c>
    </row>
    <row r="512" spans="13:39" hidden="1">
      <c r="M512" s="131">
        <v>77500</v>
      </c>
      <c r="N512" s="223">
        <v>514458</v>
      </c>
      <c r="O512" s="132" t="s">
        <v>244</v>
      </c>
      <c r="P512" s="132" t="s">
        <v>245</v>
      </c>
      <c r="Q512" s="133">
        <v>1440</v>
      </c>
      <c r="R512" s="132" t="s">
        <v>279</v>
      </c>
      <c r="S512" s="132" t="s">
        <v>11</v>
      </c>
      <c r="T512" s="134">
        <v>42548</v>
      </c>
      <c r="U512" s="172">
        <f t="shared" si="31"/>
        <v>2016</v>
      </c>
      <c r="V512" s="172">
        <f t="shared" si="32"/>
        <v>6</v>
      </c>
      <c r="W512" s="44" t="s">
        <v>280</v>
      </c>
      <c r="X512" t="s">
        <v>892</v>
      </c>
      <c r="Y512">
        <v>1</v>
      </c>
      <c r="AA512" s="13">
        <f t="shared" si="30"/>
        <v>77500</v>
      </c>
      <c r="AE512" s="43"/>
      <c r="AL512" s="87" t="s">
        <v>819</v>
      </c>
      <c r="AM512" s="86">
        <v>373859</v>
      </c>
    </row>
    <row r="513" spans="13:39" hidden="1">
      <c r="M513" s="131">
        <v>77575</v>
      </c>
      <c r="N513" s="223">
        <v>468492</v>
      </c>
      <c r="O513" s="132" t="s">
        <v>244</v>
      </c>
      <c r="P513" s="132" t="s">
        <v>245</v>
      </c>
      <c r="Q513" s="133">
        <v>1160</v>
      </c>
      <c r="R513" s="132" t="s">
        <v>279</v>
      </c>
      <c r="S513" s="132" t="s">
        <v>11</v>
      </c>
      <c r="T513" s="134">
        <v>42548</v>
      </c>
      <c r="U513" s="172">
        <f t="shared" si="31"/>
        <v>2016</v>
      </c>
      <c r="V513" s="172">
        <f t="shared" si="32"/>
        <v>6</v>
      </c>
      <c r="W513" s="44" t="s">
        <v>280</v>
      </c>
      <c r="X513" t="s">
        <v>892</v>
      </c>
      <c r="Y513">
        <v>1</v>
      </c>
      <c r="AA513" s="13">
        <f t="shared" si="30"/>
        <v>77575</v>
      </c>
      <c r="AE513" s="43"/>
      <c r="AL513" s="87" t="s">
        <v>819</v>
      </c>
      <c r="AM513" s="86">
        <v>375079</v>
      </c>
    </row>
    <row r="514" spans="13:39" hidden="1">
      <c r="M514" s="131">
        <v>77777</v>
      </c>
      <c r="N514" s="223">
        <v>468492</v>
      </c>
      <c r="O514" s="132" t="s">
        <v>244</v>
      </c>
      <c r="P514" s="132" t="s">
        <v>245</v>
      </c>
      <c r="Q514" s="133">
        <v>1407</v>
      </c>
      <c r="R514" s="132" t="s">
        <v>279</v>
      </c>
      <c r="S514" s="132" t="s">
        <v>11</v>
      </c>
      <c r="T514" s="134">
        <v>42548</v>
      </c>
      <c r="U514" s="172">
        <f t="shared" si="31"/>
        <v>2016</v>
      </c>
      <c r="V514" s="172">
        <f t="shared" si="32"/>
        <v>6</v>
      </c>
      <c r="W514" s="44" t="s">
        <v>280</v>
      </c>
      <c r="X514" t="s">
        <v>892</v>
      </c>
      <c r="Y514">
        <v>1</v>
      </c>
      <c r="AA514" s="13">
        <f t="shared" si="30"/>
        <v>77777</v>
      </c>
      <c r="AE514" s="43"/>
      <c r="AL514" s="87" t="s">
        <v>819</v>
      </c>
      <c r="AM514" s="86">
        <v>375079</v>
      </c>
    </row>
    <row r="515" spans="13:39" hidden="1">
      <c r="M515" s="131">
        <v>77777</v>
      </c>
      <c r="N515" s="223">
        <v>524375</v>
      </c>
      <c r="O515" s="132" t="s">
        <v>244</v>
      </c>
      <c r="P515" s="132" t="s">
        <v>245</v>
      </c>
      <c r="Q515" s="133">
        <v>672</v>
      </c>
      <c r="R515" s="132" t="s">
        <v>279</v>
      </c>
      <c r="S515" s="132" t="s">
        <v>11</v>
      </c>
      <c r="T515" s="134">
        <v>42246</v>
      </c>
      <c r="U515" s="172">
        <f t="shared" si="31"/>
        <v>2015</v>
      </c>
      <c r="V515" s="172">
        <f t="shared" si="32"/>
        <v>8</v>
      </c>
      <c r="W515" s="44" t="s">
        <v>291</v>
      </c>
      <c r="X515" t="s">
        <v>892</v>
      </c>
      <c r="Y515">
        <v>1</v>
      </c>
      <c r="AA515" s="13">
        <f t="shared" si="30"/>
        <v>77777</v>
      </c>
      <c r="AE515" s="43"/>
      <c r="AL515" s="87" t="s">
        <v>819</v>
      </c>
      <c r="AM515" s="86">
        <v>375079</v>
      </c>
    </row>
    <row r="516" spans="13:39" hidden="1">
      <c r="M516" s="131">
        <v>77777</v>
      </c>
      <c r="N516" s="223">
        <v>524375</v>
      </c>
      <c r="O516" s="132" t="s">
        <v>244</v>
      </c>
      <c r="P516" s="132" t="s">
        <v>245</v>
      </c>
      <c r="Q516" s="133">
        <v>673</v>
      </c>
      <c r="R516" s="132" t="s">
        <v>279</v>
      </c>
      <c r="S516" s="132" t="s">
        <v>11</v>
      </c>
      <c r="T516" s="134">
        <v>42246</v>
      </c>
      <c r="U516" s="172">
        <f t="shared" si="31"/>
        <v>2015</v>
      </c>
      <c r="V516" s="172">
        <f t="shared" si="32"/>
        <v>8</v>
      </c>
      <c r="W516" s="44" t="s">
        <v>291</v>
      </c>
      <c r="X516" t="s">
        <v>892</v>
      </c>
      <c r="Y516">
        <v>1</v>
      </c>
      <c r="AA516" s="13">
        <f t="shared" ref="AA516:AA579" si="33">IF(M516&lt;30000,Y516*100*M516*(1-$L$1)-$L$2*Y516,M516)</f>
        <v>77777</v>
      </c>
      <c r="AE516" s="43"/>
      <c r="AL516" s="87" t="s">
        <v>819</v>
      </c>
      <c r="AM516" s="86">
        <v>375079</v>
      </c>
    </row>
    <row r="517" spans="13:39" hidden="1">
      <c r="M517" s="131">
        <v>77777</v>
      </c>
      <c r="N517" s="223">
        <v>568563</v>
      </c>
      <c r="O517" s="132" t="s">
        <v>244</v>
      </c>
      <c r="P517" s="132" t="s">
        <v>245</v>
      </c>
      <c r="Q517" s="133">
        <v>8</v>
      </c>
      <c r="R517" s="132" t="s">
        <v>279</v>
      </c>
      <c r="S517" s="132" t="s">
        <v>11</v>
      </c>
      <c r="T517" s="134">
        <v>42548</v>
      </c>
      <c r="U517" s="172">
        <f t="shared" si="31"/>
        <v>2016</v>
      </c>
      <c r="V517" s="172">
        <f t="shared" si="32"/>
        <v>6</v>
      </c>
      <c r="W517" s="44" t="s">
        <v>280</v>
      </c>
      <c r="X517" t="s">
        <v>892</v>
      </c>
      <c r="Y517">
        <v>1</v>
      </c>
      <c r="AA517" s="13">
        <f t="shared" si="33"/>
        <v>77777</v>
      </c>
      <c r="AE517" s="43"/>
      <c r="AL517" s="87" t="s">
        <v>819</v>
      </c>
      <c r="AM517" s="86">
        <v>375079</v>
      </c>
    </row>
    <row r="518" spans="13:39" hidden="1">
      <c r="M518" s="131">
        <v>77777</v>
      </c>
      <c r="N518" s="223">
        <v>574259</v>
      </c>
      <c r="O518" s="132" t="s">
        <v>244</v>
      </c>
      <c r="P518" s="132" t="s">
        <v>245</v>
      </c>
      <c r="Q518" s="133">
        <v>1530</v>
      </c>
      <c r="R518" s="132" t="s">
        <v>279</v>
      </c>
      <c r="S518" s="132" t="s">
        <v>11</v>
      </c>
      <c r="T518" s="134">
        <v>42548</v>
      </c>
      <c r="U518" s="172">
        <f t="shared" si="31"/>
        <v>2016</v>
      </c>
      <c r="V518" s="172">
        <f t="shared" si="32"/>
        <v>6</v>
      </c>
      <c r="W518" s="44" t="s">
        <v>280</v>
      </c>
      <c r="X518" t="s">
        <v>892</v>
      </c>
      <c r="Y518">
        <v>1</v>
      </c>
      <c r="AA518" s="13">
        <f t="shared" si="33"/>
        <v>77777</v>
      </c>
      <c r="AE518" s="43"/>
      <c r="AL518" s="87" t="s">
        <v>819</v>
      </c>
      <c r="AM518" s="86">
        <v>375079</v>
      </c>
    </row>
    <row r="519" spans="13:39" hidden="1">
      <c r="M519" s="131">
        <v>77777</v>
      </c>
      <c r="N519" s="223">
        <v>586219</v>
      </c>
      <c r="O519" s="132" t="s">
        <v>244</v>
      </c>
      <c r="P519" s="132" t="s">
        <v>245</v>
      </c>
      <c r="Q519" s="133">
        <v>85</v>
      </c>
      <c r="R519" s="132" t="s">
        <v>279</v>
      </c>
      <c r="S519" s="132" t="s">
        <v>11</v>
      </c>
      <c r="T519" s="134">
        <v>42548</v>
      </c>
      <c r="U519" s="172">
        <f t="shared" ref="U519:U582" si="34">YEAR($T519)</f>
        <v>2016</v>
      </c>
      <c r="V519" s="172">
        <f t="shared" ref="V519:V582" si="35">MONTH($T519)</f>
        <v>6</v>
      </c>
      <c r="W519" s="44" t="s">
        <v>280</v>
      </c>
      <c r="X519" t="s">
        <v>892</v>
      </c>
      <c r="Y519">
        <v>1</v>
      </c>
      <c r="AA519" s="13">
        <f t="shared" si="33"/>
        <v>77777</v>
      </c>
      <c r="AE519" s="43"/>
      <c r="AL519" s="87" t="s">
        <v>819</v>
      </c>
      <c r="AM519" s="86">
        <v>375079</v>
      </c>
    </row>
    <row r="520" spans="13:39" hidden="1">
      <c r="M520" s="131">
        <v>77784</v>
      </c>
      <c r="N520" s="223">
        <v>529265</v>
      </c>
      <c r="O520" s="132" t="s">
        <v>244</v>
      </c>
      <c r="P520" s="132" t="s">
        <v>245</v>
      </c>
      <c r="Q520" s="133">
        <v>1107</v>
      </c>
      <c r="R520" s="132" t="s">
        <v>279</v>
      </c>
      <c r="S520" s="132" t="s">
        <v>11</v>
      </c>
      <c r="T520" s="134">
        <v>42548</v>
      </c>
      <c r="U520" s="172">
        <f t="shared" si="34"/>
        <v>2016</v>
      </c>
      <c r="V520" s="172">
        <f t="shared" si="35"/>
        <v>6</v>
      </c>
      <c r="W520" s="44" t="s">
        <v>280</v>
      </c>
      <c r="X520" t="s">
        <v>892</v>
      </c>
      <c r="Y520">
        <v>1</v>
      </c>
      <c r="AA520" s="13">
        <f t="shared" si="33"/>
        <v>77784</v>
      </c>
      <c r="AE520" s="43"/>
      <c r="AL520" s="87" t="s">
        <v>819</v>
      </c>
      <c r="AM520" s="86">
        <v>375342</v>
      </c>
    </row>
    <row r="521" spans="13:39" hidden="1">
      <c r="M521" s="131">
        <v>78000</v>
      </c>
      <c r="N521" s="223">
        <v>574828</v>
      </c>
      <c r="O521" s="132" t="s">
        <v>244</v>
      </c>
      <c r="P521" s="132" t="s">
        <v>245</v>
      </c>
      <c r="Q521" s="133">
        <v>1501</v>
      </c>
      <c r="R521" s="132" t="s">
        <v>279</v>
      </c>
      <c r="S521" s="132" t="s">
        <v>11</v>
      </c>
      <c r="T521" s="134">
        <v>42548</v>
      </c>
      <c r="U521" s="172">
        <f t="shared" si="34"/>
        <v>2016</v>
      </c>
      <c r="V521" s="172">
        <f t="shared" si="35"/>
        <v>6</v>
      </c>
      <c r="W521" s="44" t="s">
        <v>280</v>
      </c>
      <c r="X521" t="s">
        <v>892</v>
      </c>
      <c r="Y521">
        <v>1</v>
      </c>
      <c r="AA521" s="13">
        <f t="shared" si="33"/>
        <v>78000</v>
      </c>
      <c r="AE521" s="43"/>
      <c r="AL521" s="87" t="s">
        <v>819</v>
      </c>
      <c r="AM521" s="86">
        <v>376532</v>
      </c>
    </row>
    <row r="522" spans="13:39" hidden="1">
      <c r="M522" s="131">
        <v>78200</v>
      </c>
      <c r="N522" s="223">
        <v>544643</v>
      </c>
      <c r="O522" s="132" t="s">
        <v>244</v>
      </c>
      <c r="P522" s="132" t="s">
        <v>245</v>
      </c>
      <c r="Q522" s="133">
        <v>1039</v>
      </c>
      <c r="R522" s="132" t="s">
        <v>279</v>
      </c>
      <c r="S522" s="132" t="s">
        <v>11</v>
      </c>
      <c r="T522" s="134">
        <v>42548</v>
      </c>
      <c r="U522" s="172">
        <f t="shared" si="34"/>
        <v>2016</v>
      </c>
      <c r="V522" s="172">
        <f t="shared" si="35"/>
        <v>6</v>
      </c>
      <c r="W522" s="44" t="s">
        <v>280</v>
      </c>
      <c r="X522" t="s">
        <v>892</v>
      </c>
      <c r="Y522">
        <v>1</v>
      </c>
      <c r="AA522" s="13">
        <f t="shared" si="33"/>
        <v>78200</v>
      </c>
      <c r="AE522" s="43"/>
      <c r="AL522" s="87" t="s">
        <v>819</v>
      </c>
      <c r="AM522" s="86">
        <v>376668</v>
      </c>
    </row>
    <row r="523" spans="13:39" hidden="1">
      <c r="M523" s="131">
        <v>78260</v>
      </c>
      <c r="N523" s="223">
        <v>618681</v>
      </c>
      <c r="O523" s="132" t="s">
        <v>244</v>
      </c>
      <c r="P523" s="132" t="s">
        <v>245</v>
      </c>
      <c r="Q523" s="133">
        <v>1179</v>
      </c>
      <c r="R523" s="132" t="s">
        <v>279</v>
      </c>
      <c r="S523" s="132" t="s">
        <v>11</v>
      </c>
      <c r="T523" s="134">
        <v>42548</v>
      </c>
      <c r="U523" s="172">
        <f t="shared" si="34"/>
        <v>2016</v>
      </c>
      <c r="V523" s="172">
        <f t="shared" si="35"/>
        <v>6</v>
      </c>
      <c r="W523" s="44" t="s">
        <v>280</v>
      </c>
      <c r="X523" t="s">
        <v>892</v>
      </c>
      <c r="Y523">
        <v>1</v>
      </c>
      <c r="AA523" s="13">
        <f t="shared" si="33"/>
        <v>78260</v>
      </c>
      <c r="AE523" s="43"/>
      <c r="AL523" s="87" t="s">
        <v>819</v>
      </c>
      <c r="AM523" s="86">
        <v>3768368</v>
      </c>
    </row>
    <row r="524" spans="13:39" hidden="1">
      <c r="M524" s="131">
        <v>78560</v>
      </c>
      <c r="N524" s="223">
        <v>528696</v>
      </c>
      <c r="O524" s="132" t="s">
        <v>244</v>
      </c>
      <c r="P524" s="132" t="s">
        <v>245</v>
      </c>
      <c r="Q524" s="133">
        <v>1325</v>
      </c>
      <c r="R524" s="132" t="s">
        <v>279</v>
      </c>
      <c r="S524" s="132" t="s">
        <v>11</v>
      </c>
      <c r="T524" s="134">
        <v>42548</v>
      </c>
      <c r="U524" s="172">
        <f t="shared" si="34"/>
        <v>2016</v>
      </c>
      <c r="V524" s="172">
        <f t="shared" si="35"/>
        <v>6</v>
      </c>
      <c r="W524" s="44" t="s">
        <v>280</v>
      </c>
      <c r="X524" t="s">
        <v>892</v>
      </c>
      <c r="Y524">
        <v>1</v>
      </c>
      <c r="AA524" s="13">
        <f t="shared" si="33"/>
        <v>78560</v>
      </c>
      <c r="AE524" s="43"/>
      <c r="AL524" s="87" t="s">
        <v>819</v>
      </c>
      <c r="AM524" s="86">
        <v>3770313</v>
      </c>
    </row>
    <row r="525" spans="13:39" hidden="1">
      <c r="M525" s="131">
        <v>78660</v>
      </c>
      <c r="N525" s="223">
        <v>471340</v>
      </c>
      <c r="O525" s="132" t="s">
        <v>244</v>
      </c>
      <c r="P525" s="132" t="s">
        <v>245</v>
      </c>
      <c r="Q525" s="133">
        <v>1203</v>
      </c>
      <c r="R525" s="132" t="s">
        <v>279</v>
      </c>
      <c r="S525" s="132" t="s">
        <v>11</v>
      </c>
      <c r="T525" s="134">
        <v>42548</v>
      </c>
      <c r="U525" s="172">
        <f t="shared" si="34"/>
        <v>2016</v>
      </c>
      <c r="V525" s="172">
        <f t="shared" si="35"/>
        <v>6</v>
      </c>
      <c r="W525" s="44" t="s">
        <v>280</v>
      </c>
      <c r="X525" t="s">
        <v>892</v>
      </c>
      <c r="Y525">
        <v>1</v>
      </c>
      <c r="AA525" s="13">
        <f t="shared" si="33"/>
        <v>78660</v>
      </c>
      <c r="AE525" s="43"/>
      <c r="AL525" s="87" t="s">
        <v>819</v>
      </c>
      <c r="AM525" s="86">
        <v>377331</v>
      </c>
    </row>
    <row r="526" spans="13:39" hidden="1">
      <c r="M526" s="131">
        <v>79943</v>
      </c>
      <c r="N526" s="223">
        <v>542364</v>
      </c>
      <c r="O526" s="132" t="s">
        <v>244</v>
      </c>
      <c r="P526" s="132" t="s">
        <v>245</v>
      </c>
      <c r="Q526" s="133">
        <v>1570</v>
      </c>
      <c r="R526" s="132" t="s">
        <v>279</v>
      </c>
      <c r="S526" s="132" t="s">
        <v>11</v>
      </c>
      <c r="T526" s="134">
        <v>42548</v>
      </c>
      <c r="U526" s="172">
        <f t="shared" si="34"/>
        <v>2016</v>
      </c>
      <c r="V526" s="172">
        <f t="shared" si="35"/>
        <v>6</v>
      </c>
      <c r="W526" s="44" t="s">
        <v>280</v>
      </c>
      <c r="X526" t="s">
        <v>892</v>
      </c>
      <c r="Y526">
        <v>1</v>
      </c>
      <c r="AA526" s="13">
        <f t="shared" si="33"/>
        <v>79943</v>
      </c>
      <c r="AE526" s="43"/>
      <c r="AL526" s="87" t="s">
        <v>819</v>
      </c>
      <c r="AM526" s="86">
        <v>377521</v>
      </c>
    </row>
    <row r="527" spans="13:39" hidden="1">
      <c r="M527" s="131">
        <v>79950</v>
      </c>
      <c r="N527" s="223">
        <v>501262</v>
      </c>
      <c r="O527" s="132" t="s">
        <v>244</v>
      </c>
      <c r="P527" s="132" t="s">
        <v>245</v>
      </c>
      <c r="Q527" s="133">
        <v>343</v>
      </c>
      <c r="R527" s="132" t="s">
        <v>279</v>
      </c>
      <c r="S527" s="132" t="s">
        <v>11</v>
      </c>
      <c r="T527" s="134">
        <v>42246</v>
      </c>
      <c r="U527" s="172">
        <f t="shared" si="34"/>
        <v>2015</v>
      </c>
      <c r="V527" s="172">
        <f t="shared" si="35"/>
        <v>8</v>
      </c>
      <c r="W527" s="44" t="s">
        <v>291</v>
      </c>
      <c r="X527" t="s">
        <v>892</v>
      </c>
      <c r="Y527">
        <v>1</v>
      </c>
      <c r="AA527" s="13">
        <f t="shared" si="33"/>
        <v>79950</v>
      </c>
      <c r="AE527" s="43"/>
      <c r="AL527" s="87" t="s">
        <v>819</v>
      </c>
      <c r="AM527" s="86">
        <v>379320</v>
      </c>
    </row>
    <row r="528" spans="13:39" hidden="1">
      <c r="M528" s="131">
        <v>80000</v>
      </c>
      <c r="N528" s="223">
        <v>481439</v>
      </c>
      <c r="O528" s="132" t="s">
        <v>244</v>
      </c>
      <c r="P528" s="132" t="s">
        <v>245</v>
      </c>
      <c r="Q528" s="133">
        <v>325</v>
      </c>
      <c r="R528" s="132" t="s">
        <v>279</v>
      </c>
      <c r="S528" s="132" t="s">
        <v>11</v>
      </c>
      <c r="T528" s="134">
        <v>42246</v>
      </c>
      <c r="U528" s="172">
        <f t="shared" si="34"/>
        <v>2015</v>
      </c>
      <c r="V528" s="172">
        <f t="shared" si="35"/>
        <v>8</v>
      </c>
      <c r="W528" s="44" t="s">
        <v>291</v>
      </c>
      <c r="X528" t="s">
        <v>892</v>
      </c>
      <c r="Y528">
        <v>1</v>
      </c>
      <c r="AA528" s="13">
        <f t="shared" si="33"/>
        <v>80000</v>
      </c>
      <c r="AE528" s="43"/>
      <c r="AL528" s="87" t="s">
        <v>819</v>
      </c>
      <c r="AM528" s="86">
        <v>3807295</v>
      </c>
    </row>
    <row r="529" spans="13:39" hidden="1">
      <c r="M529" s="131">
        <v>80000</v>
      </c>
      <c r="N529" s="223">
        <v>488873</v>
      </c>
      <c r="O529" s="132" t="s">
        <v>244</v>
      </c>
      <c r="P529" s="132" t="s">
        <v>245</v>
      </c>
      <c r="Q529" s="133">
        <v>93</v>
      </c>
      <c r="R529" s="132" t="s">
        <v>279</v>
      </c>
      <c r="S529" s="132" t="s">
        <v>11</v>
      </c>
      <c r="T529" s="134">
        <v>42246</v>
      </c>
      <c r="U529" s="172">
        <f t="shared" si="34"/>
        <v>2015</v>
      </c>
      <c r="V529" s="172">
        <f t="shared" si="35"/>
        <v>8</v>
      </c>
      <c r="W529" s="44" t="s">
        <v>291</v>
      </c>
      <c r="X529" t="s">
        <v>892</v>
      </c>
      <c r="Y529">
        <v>1</v>
      </c>
      <c r="AA529" s="13">
        <f t="shared" si="33"/>
        <v>80000</v>
      </c>
      <c r="AE529" s="43"/>
      <c r="AL529" s="87" t="s">
        <v>819</v>
      </c>
      <c r="AM529" s="86">
        <v>382403</v>
      </c>
    </row>
    <row r="530" spans="13:39" hidden="1">
      <c r="M530" s="131">
        <v>80000</v>
      </c>
      <c r="N530" s="223">
        <v>488873</v>
      </c>
      <c r="O530" s="132" t="s">
        <v>244</v>
      </c>
      <c r="P530" s="132" t="s">
        <v>245</v>
      </c>
      <c r="Q530" s="133">
        <v>98</v>
      </c>
      <c r="R530" s="132" t="s">
        <v>279</v>
      </c>
      <c r="S530" s="132" t="s">
        <v>11</v>
      </c>
      <c r="T530" s="134">
        <v>42246</v>
      </c>
      <c r="U530" s="172">
        <f t="shared" si="34"/>
        <v>2015</v>
      </c>
      <c r="V530" s="172">
        <f t="shared" si="35"/>
        <v>8</v>
      </c>
      <c r="W530" s="44" t="s">
        <v>291</v>
      </c>
      <c r="X530" t="s">
        <v>892</v>
      </c>
      <c r="Y530">
        <v>1</v>
      </c>
      <c r="AA530" s="13">
        <f t="shared" si="33"/>
        <v>80000</v>
      </c>
      <c r="AE530" s="43"/>
      <c r="AL530" s="87" t="s">
        <v>819</v>
      </c>
      <c r="AM530" s="86">
        <v>383297</v>
      </c>
    </row>
    <row r="531" spans="13:39" hidden="1">
      <c r="M531" s="131">
        <v>80000</v>
      </c>
      <c r="N531" s="223">
        <v>491845</v>
      </c>
      <c r="O531" s="132" t="s">
        <v>244</v>
      </c>
      <c r="P531" s="132" t="s">
        <v>245</v>
      </c>
      <c r="Q531" s="133">
        <v>207</v>
      </c>
      <c r="R531" s="132" t="s">
        <v>279</v>
      </c>
      <c r="S531" s="132" t="s">
        <v>11</v>
      </c>
      <c r="T531" s="134">
        <v>42246</v>
      </c>
      <c r="U531" s="172">
        <f t="shared" si="34"/>
        <v>2015</v>
      </c>
      <c r="V531" s="172">
        <f t="shared" si="35"/>
        <v>8</v>
      </c>
      <c r="W531" s="44" t="s">
        <v>291</v>
      </c>
      <c r="X531" t="s">
        <v>892</v>
      </c>
      <c r="Y531">
        <v>1</v>
      </c>
      <c r="AA531" s="13">
        <f t="shared" si="33"/>
        <v>80000</v>
      </c>
      <c r="AE531" s="43"/>
      <c r="AL531" s="87" t="s">
        <v>819</v>
      </c>
      <c r="AM531" s="86">
        <v>383624</v>
      </c>
    </row>
    <row r="532" spans="13:39" hidden="1">
      <c r="M532" s="131">
        <v>80000</v>
      </c>
      <c r="N532" s="223">
        <v>536670</v>
      </c>
      <c r="O532" s="132" t="s">
        <v>244</v>
      </c>
      <c r="P532" s="132" t="s">
        <v>245</v>
      </c>
      <c r="Q532" s="133">
        <v>1582</v>
      </c>
      <c r="R532" s="132" t="s">
        <v>279</v>
      </c>
      <c r="S532" s="132" t="s">
        <v>11</v>
      </c>
      <c r="T532" s="134">
        <v>42548</v>
      </c>
      <c r="U532" s="172">
        <f t="shared" si="34"/>
        <v>2016</v>
      </c>
      <c r="V532" s="172">
        <f t="shared" si="35"/>
        <v>6</v>
      </c>
      <c r="W532" s="44" t="s">
        <v>280</v>
      </c>
      <c r="X532" t="s">
        <v>892</v>
      </c>
      <c r="Y532">
        <v>1</v>
      </c>
      <c r="AA532" s="13">
        <f t="shared" si="33"/>
        <v>80000</v>
      </c>
      <c r="AE532" s="43"/>
      <c r="AL532" s="87" t="s">
        <v>819</v>
      </c>
      <c r="AM532" s="86">
        <v>383624</v>
      </c>
    </row>
    <row r="533" spans="13:39" hidden="1">
      <c r="M533" s="131">
        <v>80000</v>
      </c>
      <c r="N533" s="223">
        <v>560590</v>
      </c>
      <c r="O533" s="132" t="s">
        <v>244</v>
      </c>
      <c r="P533" s="132" t="s">
        <v>245</v>
      </c>
      <c r="Q533" s="133">
        <v>47</v>
      </c>
      <c r="R533" s="132" t="s">
        <v>279</v>
      </c>
      <c r="S533" s="132" t="s">
        <v>11</v>
      </c>
      <c r="T533" s="134">
        <v>42548</v>
      </c>
      <c r="U533" s="172">
        <f t="shared" si="34"/>
        <v>2016</v>
      </c>
      <c r="V533" s="172">
        <f t="shared" si="35"/>
        <v>6</v>
      </c>
      <c r="W533" s="44" t="s">
        <v>280</v>
      </c>
      <c r="X533" t="s">
        <v>892</v>
      </c>
      <c r="Y533">
        <v>1</v>
      </c>
      <c r="AA533" s="13">
        <f t="shared" si="33"/>
        <v>80000</v>
      </c>
      <c r="AE533" s="43"/>
      <c r="AL533" s="87" t="s">
        <v>819</v>
      </c>
      <c r="AM533" s="86">
        <v>38394728</v>
      </c>
    </row>
    <row r="534" spans="13:39" hidden="1">
      <c r="M534" s="131">
        <v>80004</v>
      </c>
      <c r="N534" s="223">
        <v>488873</v>
      </c>
      <c r="O534" s="132" t="s">
        <v>244</v>
      </c>
      <c r="P534" s="132" t="s">
        <v>245</v>
      </c>
      <c r="Q534" s="133">
        <v>210</v>
      </c>
      <c r="R534" s="132" t="s">
        <v>279</v>
      </c>
      <c r="S534" s="132" t="s">
        <v>11</v>
      </c>
      <c r="T534" s="134">
        <v>42246</v>
      </c>
      <c r="U534" s="172">
        <f t="shared" si="34"/>
        <v>2015</v>
      </c>
      <c r="V534" s="172">
        <f t="shared" si="35"/>
        <v>8</v>
      </c>
      <c r="W534" s="44" t="s">
        <v>291</v>
      </c>
      <c r="X534" t="s">
        <v>892</v>
      </c>
      <c r="Y534">
        <v>1</v>
      </c>
      <c r="AA534" s="13">
        <f t="shared" si="33"/>
        <v>80004</v>
      </c>
      <c r="AE534" s="43"/>
      <c r="AL534" s="87" t="s">
        <v>819</v>
      </c>
      <c r="AM534" s="86">
        <v>384711</v>
      </c>
    </row>
    <row r="535" spans="13:39" hidden="1">
      <c r="M535" s="131">
        <v>80033</v>
      </c>
      <c r="N535" s="223">
        <v>546921</v>
      </c>
      <c r="O535" s="132" t="s">
        <v>244</v>
      </c>
      <c r="P535" s="132" t="s">
        <v>245</v>
      </c>
      <c r="Q535" s="133">
        <v>1421</v>
      </c>
      <c r="R535" s="132" t="s">
        <v>279</v>
      </c>
      <c r="S535" s="132" t="s">
        <v>11</v>
      </c>
      <c r="T535" s="134">
        <v>42548</v>
      </c>
      <c r="U535" s="172">
        <f t="shared" si="34"/>
        <v>2016</v>
      </c>
      <c r="V535" s="172">
        <f t="shared" si="35"/>
        <v>6</v>
      </c>
      <c r="W535" s="44" t="s">
        <v>280</v>
      </c>
      <c r="X535" t="s">
        <v>892</v>
      </c>
      <c r="Y535">
        <v>1</v>
      </c>
      <c r="AA535" s="13">
        <f t="shared" si="33"/>
        <v>80033</v>
      </c>
      <c r="AE535" s="43"/>
      <c r="AL535" s="87" t="s">
        <v>819</v>
      </c>
      <c r="AM535" s="86">
        <v>384711</v>
      </c>
    </row>
    <row r="536" spans="13:39" hidden="1">
      <c r="M536" s="131">
        <v>80055</v>
      </c>
      <c r="N536" s="223">
        <v>475491</v>
      </c>
      <c r="O536" s="132" t="s">
        <v>244</v>
      </c>
      <c r="P536" s="132" t="s">
        <v>245</v>
      </c>
      <c r="Q536" s="133">
        <v>400</v>
      </c>
      <c r="R536" s="132" t="s">
        <v>279</v>
      </c>
      <c r="S536" s="132" t="s">
        <v>11</v>
      </c>
      <c r="T536" s="134">
        <v>42246</v>
      </c>
      <c r="U536" s="172">
        <f t="shared" si="34"/>
        <v>2015</v>
      </c>
      <c r="V536" s="172">
        <f t="shared" si="35"/>
        <v>8</v>
      </c>
      <c r="W536" s="44" t="s">
        <v>291</v>
      </c>
      <c r="X536" t="s">
        <v>892</v>
      </c>
      <c r="Y536">
        <v>1</v>
      </c>
      <c r="AA536" s="13">
        <f t="shared" si="33"/>
        <v>80055</v>
      </c>
      <c r="AE536" s="43"/>
      <c r="AL536" s="87" t="s">
        <v>819</v>
      </c>
      <c r="AM536" s="86">
        <v>384711</v>
      </c>
    </row>
    <row r="537" spans="13:39" hidden="1">
      <c r="M537" s="131">
        <v>80200</v>
      </c>
      <c r="N537" s="223">
        <v>540656</v>
      </c>
      <c r="O537" s="132" t="s">
        <v>244</v>
      </c>
      <c r="P537" s="132" t="s">
        <v>245</v>
      </c>
      <c r="Q537" s="133">
        <v>1114</v>
      </c>
      <c r="R537" s="132" t="s">
        <v>279</v>
      </c>
      <c r="S537" s="132" t="s">
        <v>11</v>
      </c>
      <c r="T537" s="134">
        <v>42548</v>
      </c>
      <c r="U537" s="172">
        <f t="shared" si="34"/>
        <v>2016</v>
      </c>
      <c r="V537" s="172">
        <f t="shared" si="35"/>
        <v>6</v>
      </c>
      <c r="W537" s="44" t="s">
        <v>280</v>
      </c>
      <c r="X537" t="s">
        <v>892</v>
      </c>
      <c r="Y537">
        <v>1</v>
      </c>
      <c r="AA537" s="13">
        <f t="shared" si="33"/>
        <v>80200</v>
      </c>
      <c r="AE537" s="43"/>
      <c r="AL537" s="87" t="s">
        <v>819</v>
      </c>
      <c r="AM537" s="86">
        <v>384845</v>
      </c>
    </row>
    <row r="538" spans="13:39" hidden="1">
      <c r="M538" s="131">
        <v>80250</v>
      </c>
      <c r="N538" s="223">
        <v>555464</v>
      </c>
      <c r="O538" s="132" t="s">
        <v>244</v>
      </c>
      <c r="P538" s="132" t="s">
        <v>245</v>
      </c>
      <c r="Q538" s="133">
        <v>1423</v>
      </c>
      <c r="R538" s="132" t="s">
        <v>279</v>
      </c>
      <c r="S538" s="132" t="s">
        <v>11</v>
      </c>
      <c r="T538" s="134">
        <v>42548</v>
      </c>
      <c r="U538" s="172">
        <f t="shared" si="34"/>
        <v>2016</v>
      </c>
      <c r="V538" s="172">
        <f t="shared" si="35"/>
        <v>6</v>
      </c>
      <c r="W538" s="44" t="s">
        <v>280</v>
      </c>
      <c r="X538" t="s">
        <v>892</v>
      </c>
      <c r="Y538">
        <v>1</v>
      </c>
      <c r="AA538" s="13">
        <f t="shared" si="33"/>
        <v>80250</v>
      </c>
      <c r="AE538" s="43"/>
      <c r="AL538" s="87" t="s">
        <v>819</v>
      </c>
      <c r="AM538" s="86">
        <v>385151</v>
      </c>
    </row>
    <row r="539" spans="13:39" hidden="1">
      <c r="M539" s="131">
        <v>80500</v>
      </c>
      <c r="N539" s="223">
        <v>514458</v>
      </c>
      <c r="O539" s="132" t="s">
        <v>244</v>
      </c>
      <c r="P539" s="132" t="s">
        <v>245</v>
      </c>
      <c r="Q539" s="133">
        <v>1520</v>
      </c>
      <c r="R539" s="132" t="s">
        <v>279</v>
      </c>
      <c r="S539" s="132" t="s">
        <v>11</v>
      </c>
      <c r="T539" s="134">
        <v>42548</v>
      </c>
      <c r="U539" s="172">
        <f t="shared" si="34"/>
        <v>2016</v>
      </c>
      <c r="V539" s="172">
        <f t="shared" si="35"/>
        <v>6</v>
      </c>
      <c r="W539" s="44" t="s">
        <v>280</v>
      </c>
      <c r="X539" t="s">
        <v>892</v>
      </c>
      <c r="Y539">
        <v>1</v>
      </c>
      <c r="AA539" s="13">
        <f t="shared" si="33"/>
        <v>80500</v>
      </c>
      <c r="AE539" s="43"/>
      <c r="AL539" s="87" t="s">
        <v>819</v>
      </c>
      <c r="AM539" s="86">
        <v>385817</v>
      </c>
    </row>
    <row r="540" spans="13:39" hidden="1">
      <c r="M540" s="131">
        <v>80685</v>
      </c>
      <c r="N540" s="223">
        <v>571410</v>
      </c>
      <c r="O540" s="132" t="s">
        <v>244</v>
      </c>
      <c r="P540" s="132" t="s">
        <v>245</v>
      </c>
      <c r="Q540" s="133">
        <v>1110</v>
      </c>
      <c r="R540" s="132" t="s">
        <v>279</v>
      </c>
      <c r="S540" s="132" t="s">
        <v>11</v>
      </c>
      <c r="T540" s="134">
        <v>42548</v>
      </c>
      <c r="U540" s="172">
        <f t="shared" si="34"/>
        <v>2016</v>
      </c>
      <c r="V540" s="172">
        <f t="shared" si="35"/>
        <v>6</v>
      </c>
      <c r="W540" s="44" t="s">
        <v>280</v>
      </c>
      <c r="X540" t="s">
        <v>892</v>
      </c>
      <c r="Y540">
        <v>1</v>
      </c>
      <c r="AA540" s="13">
        <f t="shared" si="33"/>
        <v>80685</v>
      </c>
      <c r="AE540" s="43"/>
      <c r="AL540" s="87" t="s">
        <v>819</v>
      </c>
      <c r="AM540" s="86">
        <v>385817</v>
      </c>
    </row>
    <row r="541" spans="13:39" hidden="1">
      <c r="M541" s="131">
        <v>80879</v>
      </c>
      <c r="N541" s="223">
        <v>541227</v>
      </c>
      <c r="O541" s="132" t="s">
        <v>244</v>
      </c>
      <c r="P541" s="132" t="s">
        <v>245</v>
      </c>
      <c r="Q541" s="133">
        <v>1112</v>
      </c>
      <c r="R541" s="132" t="s">
        <v>279</v>
      </c>
      <c r="S541" s="132" t="s">
        <v>11</v>
      </c>
      <c r="T541" s="134">
        <v>42548</v>
      </c>
      <c r="U541" s="172">
        <f t="shared" si="34"/>
        <v>2016</v>
      </c>
      <c r="V541" s="172">
        <f t="shared" si="35"/>
        <v>6</v>
      </c>
      <c r="W541" s="44" t="s">
        <v>280</v>
      </c>
      <c r="X541" t="s">
        <v>892</v>
      </c>
      <c r="Y541">
        <v>1</v>
      </c>
      <c r="AA541" s="13">
        <f t="shared" si="33"/>
        <v>80879</v>
      </c>
      <c r="AE541" s="43"/>
      <c r="AL541" s="87" t="s">
        <v>819</v>
      </c>
      <c r="AM541" s="86">
        <v>386066</v>
      </c>
    </row>
    <row r="542" spans="13:39" hidden="1">
      <c r="M542" s="131">
        <v>81000</v>
      </c>
      <c r="N542" s="223">
        <v>489864</v>
      </c>
      <c r="O542" s="132" t="s">
        <v>244</v>
      </c>
      <c r="P542" s="132" t="s">
        <v>245</v>
      </c>
      <c r="Q542" s="133">
        <v>89</v>
      </c>
      <c r="R542" s="132" t="s">
        <v>279</v>
      </c>
      <c r="S542" s="132" t="s">
        <v>11</v>
      </c>
      <c r="T542" s="134">
        <v>42246</v>
      </c>
      <c r="U542" s="172">
        <f t="shared" si="34"/>
        <v>2015</v>
      </c>
      <c r="V542" s="172">
        <f t="shared" si="35"/>
        <v>8</v>
      </c>
      <c r="W542" s="44" t="s">
        <v>291</v>
      </c>
      <c r="X542" t="s">
        <v>892</v>
      </c>
      <c r="Y542">
        <v>1</v>
      </c>
      <c r="AA542" s="13">
        <f t="shared" si="33"/>
        <v>81000</v>
      </c>
      <c r="AE542" s="43"/>
      <c r="AL542" s="87" t="s">
        <v>819</v>
      </c>
      <c r="AM542" s="86">
        <v>386066</v>
      </c>
    </row>
    <row r="543" spans="13:39" hidden="1">
      <c r="M543" s="131">
        <v>81000</v>
      </c>
      <c r="N543" s="223">
        <v>492837</v>
      </c>
      <c r="O543" s="132" t="s">
        <v>244</v>
      </c>
      <c r="P543" s="132" t="s">
        <v>245</v>
      </c>
      <c r="Q543" s="133">
        <v>78</v>
      </c>
      <c r="R543" s="132" t="s">
        <v>279</v>
      </c>
      <c r="S543" s="132" t="s">
        <v>11</v>
      </c>
      <c r="T543" s="134">
        <v>42246</v>
      </c>
      <c r="U543" s="172">
        <f t="shared" si="34"/>
        <v>2015</v>
      </c>
      <c r="V543" s="172">
        <f t="shared" si="35"/>
        <v>8</v>
      </c>
      <c r="W543" s="44" t="s">
        <v>291</v>
      </c>
      <c r="X543" t="s">
        <v>892</v>
      </c>
      <c r="Y543">
        <v>1</v>
      </c>
      <c r="AA543" s="13">
        <f t="shared" si="33"/>
        <v>81000</v>
      </c>
      <c r="AE543" s="43"/>
      <c r="AL543" s="87" t="s">
        <v>819</v>
      </c>
      <c r="AM543" s="86">
        <v>387233</v>
      </c>
    </row>
    <row r="544" spans="13:39" hidden="1">
      <c r="M544" s="131">
        <v>81000</v>
      </c>
      <c r="N544" s="223">
        <v>542935</v>
      </c>
      <c r="O544" s="132" t="s">
        <v>244</v>
      </c>
      <c r="P544" s="132" t="s">
        <v>245</v>
      </c>
      <c r="Q544" s="133">
        <v>1286</v>
      </c>
      <c r="R544" s="132" t="s">
        <v>279</v>
      </c>
      <c r="S544" s="132" t="s">
        <v>11</v>
      </c>
      <c r="T544" s="134">
        <v>42548</v>
      </c>
      <c r="U544" s="172">
        <f t="shared" si="34"/>
        <v>2016</v>
      </c>
      <c r="V544" s="172">
        <f t="shared" si="35"/>
        <v>6</v>
      </c>
      <c r="W544" s="44" t="s">
        <v>280</v>
      </c>
      <c r="X544" t="s">
        <v>892</v>
      </c>
      <c r="Y544">
        <v>1</v>
      </c>
      <c r="AA544" s="13">
        <f t="shared" si="33"/>
        <v>81000</v>
      </c>
      <c r="AE544" s="43"/>
      <c r="AL544" s="87" t="s">
        <v>819</v>
      </c>
      <c r="AM544" s="86">
        <v>387349</v>
      </c>
    </row>
    <row r="545" spans="13:39" hidden="1">
      <c r="M545" s="131">
        <v>81100</v>
      </c>
      <c r="N545" s="223">
        <v>442863</v>
      </c>
      <c r="O545" s="132" t="s">
        <v>244</v>
      </c>
      <c r="P545" s="132" t="s">
        <v>245</v>
      </c>
      <c r="Q545" s="133">
        <v>1247</v>
      </c>
      <c r="R545" s="132" t="s">
        <v>279</v>
      </c>
      <c r="S545" s="132" t="s">
        <v>11</v>
      </c>
      <c r="T545" s="134">
        <v>42548</v>
      </c>
      <c r="U545" s="172">
        <f t="shared" si="34"/>
        <v>2016</v>
      </c>
      <c r="V545" s="172">
        <f t="shared" si="35"/>
        <v>6</v>
      </c>
      <c r="W545" s="44" t="s">
        <v>280</v>
      </c>
      <c r="X545" t="s">
        <v>892</v>
      </c>
      <c r="Y545">
        <v>1</v>
      </c>
      <c r="AA545" s="13">
        <f t="shared" si="33"/>
        <v>81100</v>
      </c>
      <c r="AE545" s="43"/>
      <c r="AL545" s="87" t="s">
        <v>819</v>
      </c>
      <c r="AM545" s="86">
        <v>387789</v>
      </c>
    </row>
    <row r="546" spans="13:39" hidden="1">
      <c r="M546" s="131">
        <v>81100</v>
      </c>
      <c r="N546" s="223">
        <v>566286</v>
      </c>
      <c r="O546" s="132" t="s">
        <v>244</v>
      </c>
      <c r="P546" s="132" t="s">
        <v>245</v>
      </c>
      <c r="Q546" s="133">
        <v>1095</v>
      </c>
      <c r="R546" s="132" t="s">
        <v>279</v>
      </c>
      <c r="S546" s="132" t="s">
        <v>11</v>
      </c>
      <c r="T546" s="134">
        <v>42548</v>
      </c>
      <c r="U546" s="172">
        <f t="shared" si="34"/>
        <v>2016</v>
      </c>
      <c r="V546" s="172">
        <f t="shared" si="35"/>
        <v>6</v>
      </c>
      <c r="W546" s="44" t="s">
        <v>280</v>
      </c>
      <c r="X546" t="s">
        <v>892</v>
      </c>
      <c r="Y546">
        <v>1</v>
      </c>
      <c r="AA546" s="13">
        <f t="shared" si="33"/>
        <v>81100</v>
      </c>
      <c r="AE546" s="43"/>
      <c r="AL546" s="87" t="s">
        <v>819</v>
      </c>
      <c r="AM546" s="86">
        <v>388229</v>
      </c>
    </row>
    <row r="547" spans="13:39" hidden="1">
      <c r="M547" s="131">
        <v>81111</v>
      </c>
      <c r="N547" s="223">
        <v>493828</v>
      </c>
      <c r="O547" s="132" t="s">
        <v>244</v>
      </c>
      <c r="P547" s="132" t="s">
        <v>245</v>
      </c>
      <c r="Q547" s="133">
        <v>359</v>
      </c>
      <c r="R547" s="132" t="s">
        <v>279</v>
      </c>
      <c r="S547" s="132" t="s">
        <v>11</v>
      </c>
      <c r="T547" s="134">
        <v>42246</v>
      </c>
      <c r="U547" s="172">
        <f t="shared" si="34"/>
        <v>2015</v>
      </c>
      <c r="V547" s="172">
        <f t="shared" si="35"/>
        <v>8</v>
      </c>
      <c r="W547" s="44" t="s">
        <v>291</v>
      </c>
      <c r="X547" t="s">
        <v>892</v>
      </c>
      <c r="Y547">
        <v>1</v>
      </c>
      <c r="AA547" s="13">
        <f t="shared" si="33"/>
        <v>81111</v>
      </c>
      <c r="AE547" s="43"/>
      <c r="AL547" s="87" t="s">
        <v>819</v>
      </c>
      <c r="AM547" s="86">
        <v>388507</v>
      </c>
    </row>
    <row r="548" spans="13:39" hidden="1">
      <c r="M548" s="131">
        <v>81169</v>
      </c>
      <c r="N548" s="223">
        <v>484413</v>
      </c>
      <c r="O548" s="132" t="s">
        <v>244</v>
      </c>
      <c r="P548" s="132" t="s">
        <v>245</v>
      </c>
      <c r="Q548" s="133">
        <v>317</v>
      </c>
      <c r="R548" s="132" t="s">
        <v>279</v>
      </c>
      <c r="S548" s="132" t="s">
        <v>11</v>
      </c>
      <c r="T548" s="134">
        <v>42246</v>
      </c>
      <c r="U548" s="172">
        <f t="shared" si="34"/>
        <v>2015</v>
      </c>
      <c r="V548" s="172">
        <f t="shared" si="35"/>
        <v>8</v>
      </c>
      <c r="W548" s="44" t="s">
        <v>291</v>
      </c>
      <c r="X548" t="s">
        <v>892</v>
      </c>
      <c r="Y548">
        <v>1</v>
      </c>
      <c r="AA548" s="13">
        <f t="shared" si="33"/>
        <v>81169</v>
      </c>
      <c r="AE548" s="43"/>
      <c r="AL548" s="87" t="s">
        <v>819</v>
      </c>
      <c r="AM548" s="86">
        <v>388507</v>
      </c>
    </row>
    <row r="549" spans="13:39" hidden="1">
      <c r="M549" s="131">
        <v>81231</v>
      </c>
      <c r="N549" s="223">
        <v>543504</v>
      </c>
      <c r="O549" s="132" t="s">
        <v>244</v>
      </c>
      <c r="P549" s="132" t="s">
        <v>245</v>
      </c>
      <c r="Q549" s="133">
        <v>1128</v>
      </c>
      <c r="R549" s="132" t="s">
        <v>279</v>
      </c>
      <c r="S549" s="132" t="s">
        <v>11</v>
      </c>
      <c r="T549" s="134">
        <v>42548</v>
      </c>
      <c r="U549" s="172">
        <f t="shared" si="34"/>
        <v>2016</v>
      </c>
      <c r="V549" s="172">
        <f t="shared" si="35"/>
        <v>6</v>
      </c>
      <c r="W549" s="44" t="s">
        <v>280</v>
      </c>
      <c r="X549" t="s">
        <v>892</v>
      </c>
      <c r="Y549">
        <v>1</v>
      </c>
      <c r="AA549" s="13">
        <f t="shared" si="33"/>
        <v>81231</v>
      </c>
      <c r="AE549" s="43"/>
      <c r="AL549" s="87" t="s">
        <v>819</v>
      </c>
      <c r="AM549" s="86">
        <v>389728</v>
      </c>
    </row>
    <row r="550" spans="13:39" hidden="1">
      <c r="M550" s="131">
        <v>81289</v>
      </c>
      <c r="N550" s="223">
        <v>554895</v>
      </c>
      <c r="O550" s="132" t="s">
        <v>244</v>
      </c>
      <c r="P550" s="132" t="s">
        <v>245</v>
      </c>
      <c r="Q550" s="133">
        <v>1280</v>
      </c>
      <c r="R550" s="132" t="s">
        <v>279</v>
      </c>
      <c r="S550" s="132" t="s">
        <v>11</v>
      </c>
      <c r="T550" s="134">
        <v>42548</v>
      </c>
      <c r="U550" s="172">
        <f t="shared" si="34"/>
        <v>2016</v>
      </c>
      <c r="V550" s="172">
        <f t="shared" si="35"/>
        <v>6</v>
      </c>
      <c r="W550" s="44" t="s">
        <v>280</v>
      </c>
      <c r="X550" t="s">
        <v>892</v>
      </c>
      <c r="Y550">
        <v>1</v>
      </c>
      <c r="AA550" s="13">
        <f t="shared" si="33"/>
        <v>81289</v>
      </c>
      <c r="AE550" s="43"/>
      <c r="AL550" s="87" t="s">
        <v>819</v>
      </c>
      <c r="AM550" s="86">
        <v>389728</v>
      </c>
    </row>
    <row r="551" spans="13:39" hidden="1">
      <c r="M551" s="131">
        <v>81412</v>
      </c>
      <c r="N551" s="223">
        <v>514458</v>
      </c>
      <c r="O551" s="132" t="s">
        <v>244</v>
      </c>
      <c r="P551" s="132" t="s">
        <v>245</v>
      </c>
      <c r="Q551" s="133">
        <v>1557</v>
      </c>
      <c r="R551" s="132" t="s">
        <v>279</v>
      </c>
      <c r="S551" s="132" t="s">
        <v>11</v>
      </c>
      <c r="T551" s="134">
        <v>42548</v>
      </c>
      <c r="U551" s="172">
        <f t="shared" si="34"/>
        <v>2016</v>
      </c>
      <c r="V551" s="172">
        <f t="shared" si="35"/>
        <v>6</v>
      </c>
      <c r="W551" s="44" t="s">
        <v>280</v>
      </c>
      <c r="X551" t="s">
        <v>892</v>
      </c>
      <c r="Y551">
        <v>1</v>
      </c>
      <c r="AA551" s="13">
        <f t="shared" si="33"/>
        <v>81412</v>
      </c>
      <c r="AE551" s="43"/>
      <c r="AL551" s="87" t="s">
        <v>819</v>
      </c>
      <c r="AM551" s="86">
        <v>389728</v>
      </c>
    </row>
    <row r="552" spans="13:39" hidden="1">
      <c r="M552" s="131">
        <v>81555</v>
      </c>
      <c r="N552" s="223">
        <v>478174</v>
      </c>
      <c r="O552" s="132" t="s">
        <v>244</v>
      </c>
      <c r="P552" s="132" t="s">
        <v>245</v>
      </c>
      <c r="Q552" s="133">
        <v>1202</v>
      </c>
      <c r="R552" s="132" t="s">
        <v>279</v>
      </c>
      <c r="S552" s="132" t="s">
        <v>11</v>
      </c>
      <c r="T552" s="134">
        <v>42548</v>
      </c>
      <c r="U552" s="172">
        <f t="shared" si="34"/>
        <v>2016</v>
      </c>
      <c r="V552" s="172">
        <f t="shared" si="35"/>
        <v>6</v>
      </c>
      <c r="W552" s="44" t="s">
        <v>280</v>
      </c>
      <c r="X552" t="s">
        <v>892</v>
      </c>
      <c r="Y552">
        <v>1</v>
      </c>
      <c r="AA552" s="13">
        <f t="shared" si="33"/>
        <v>81555</v>
      </c>
      <c r="AE552" s="43"/>
      <c r="AL552" s="87" t="s">
        <v>819</v>
      </c>
      <c r="AM552" s="86">
        <v>389728</v>
      </c>
    </row>
    <row r="553" spans="13:39" hidden="1">
      <c r="M553" s="131">
        <v>81580</v>
      </c>
      <c r="N553" s="223">
        <v>554324</v>
      </c>
      <c r="O553" s="132" t="s">
        <v>244</v>
      </c>
      <c r="P553" s="132" t="s">
        <v>245</v>
      </c>
      <c r="Q553" s="133">
        <v>1507</v>
      </c>
      <c r="R553" s="132" t="s">
        <v>279</v>
      </c>
      <c r="S553" s="132" t="s">
        <v>11</v>
      </c>
      <c r="T553" s="134">
        <v>42548</v>
      </c>
      <c r="U553" s="172">
        <f t="shared" si="34"/>
        <v>2016</v>
      </c>
      <c r="V553" s="172">
        <f t="shared" si="35"/>
        <v>6</v>
      </c>
      <c r="W553" s="44" t="s">
        <v>280</v>
      </c>
      <c r="X553" t="s">
        <v>892</v>
      </c>
      <c r="Y553">
        <v>1</v>
      </c>
      <c r="AA553" s="13">
        <f t="shared" si="33"/>
        <v>81580</v>
      </c>
      <c r="AE553" s="43"/>
      <c r="AL553" s="87" t="s">
        <v>819</v>
      </c>
      <c r="AM553" s="86">
        <v>389728</v>
      </c>
    </row>
    <row r="554" spans="13:39" hidden="1">
      <c r="M554" s="131">
        <v>81860</v>
      </c>
      <c r="N554" s="223">
        <v>468492</v>
      </c>
      <c r="O554" s="132" t="s">
        <v>244</v>
      </c>
      <c r="P554" s="132" t="s">
        <v>245</v>
      </c>
      <c r="Q554" s="133">
        <v>1408</v>
      </c>
      <c r="R554" s="132" t="s">
        <v>279</v>
      </c>
      <c r="S554" s="132" t="s">
        <v>11</v>
      </c>
      <c r="T554" s="134">
        <v>42548</v>
      </c>
      <c r="U554" s="172">
        <f t="shared" si="34"/>
        <v>2016</v>
      </c>
      <c r="V554" s="172">
        <f t="shared" si="35"/>
        <v>6</v>
      </c>
      <c r="W554" s="44" t="s">
        <v>280</v>
      </c>
      <c r="X554" t="s">
        <v>892</v>
      </c>
      <c r="Y554">
        <v>1</v>
      </c>
      <c r="AA554" s="13">
        <f t="shared" si="33"/>
        <v>81860</v>
      </c>
      <c r="AE554" s="43"/>
      <c r="AL554" s="87" t="s">
        <v>819</v>
      </c>
      <c r="AM554" s="86">
        <v>389728</v>
      </c>
    </row>
    <row r="555" spans="13:39" hidden="1">
      <c r="M555" s="131">
        <v>81952</v>
      </c>
      <c r="N555" s="223">
        <v>480447</v>
      </c>
      <c r="O555" s="132" t="s">
        <v>244</v>
      </c>
      <c r="P555" s="132" t="s">
        <v>245</v>
      </c>
      <c r="Q555" s="133">
        <v>261</v>
      </c>
      <c r="R555" s="132" t="s">
        <v>279</v>
      </c>
      <c r="S555" s="132" t="s">
        <v>11</v>
      </c>
      <c r="T555" s="134">
        <v>42246</v>
      </c>
      <c r="U555" s="172">
        <f t="shared" si="34"/>
        <v>2015</v>
      </c>
      <c r="V555" s="172">
        <f t="shared" si="35"/>
        <v>8</v>
      </c>
      <c r="W555" s="44" t="s">
        <v>291</v>
      </c>
      <c r="X555" t="s">
        <v>892</v>
      </c>
      <c r="Y555">
        <v>1</v>
      </c>
      <c r="AA555" s="13">
        <f t="shared" si="33"/>
        <v>81952</v>
      </c>
      <c r="AE555" s="43"/>
      <c r="AL555" s="87" t="s">
        <v>819</v>
      </c>
      <c r="AM555" s="86">
        <v>389728</v>
      </c>
    </row>
    <row r="556" spans="13:39" hidden="1">
      <c r="M556" s="131">
        <v>82000</v>
      </c>
      <c r="N556" s="223">
        <v>478174</v>
      </c>
      <c r="O556" s="132" t="s">
        <v>244</v>
      </c>
      <c r="P556" s="132" t="s">
        <v>245</v>
      </c>
      <c r="Q556" s="133">
        <v>1198</v>
      </c>
      <c r="R556" s="132" t="s">
        <v>279</v>
      </c>
      <c r="S556" s="132" t="s">
        <v>11</v>
      </c>
      <c r="T556" s="134">
        <v>42548</v>
      </c>
      <c r="U556" s="172">
        <f t="shared" si="34"/>
        <v>2016</v>
      </c>
      <c r="V556" s="172">
        <f t="shared" si="35"/>
        <v>6</v>
      </c>
      <c r="W556" s="44" t="s">
        <v>280</v>
      </c>
      <c r="X556" t="s">
        <v>892</v>
      </c>
      <c r="Y556">
        <v>1</v>
      </c>
      <c r="AA556" s="13">
        <f t="shared" si="33"/>
        <v>82000</v>
      </c>
      <c r="AE556" s="43"/>
      <c r="AL556" s="87" t="s">
        <v>819</v>
      </c>
      <c r="AM556" s="86">
        <v>389728</v>
      </c>
    </row>
    <row r="557" spans="13:39" hidden="1">
      <c r="M557" s="131">
        <v>82000</v>
      </c>
      <c r="N557" s="223">
        <v>497793</v>
      </c>
      <c r="O557" s="132" t="s">
        <v>244</v>
      </c>
      <c r="P557" s="132" t="s">
        <v>245</v>
      </c>
      <c r="Q557" s="133">
        <v>158</v>
      </c>
      <c r="R557" s="132" t="s">
        <v>279</v>
      </c>
      <c r="S557" s="132" t="s">
        <v>11</v>
      </c>
      <c r="T557" s="134">
        <v>42246</v>
      </c>
      <c r="U557" s="172">
        <f t="shared" si="34"/>
        <v>2015</v>
      </c>
      <c r="V557" s="172">
        <f t="shared" si="35"/>
        <v>8</v>
      </c>
      <c r="W557" s="44" t="s">
        <v>291</v>
      </c>
      <c r="X557" t="s">
        <v>892</v>
      </c>
      <c r="Y557">
        <v>1</v>
      </c>
      <c r="AA557" s="13">
        <f t="shared" si="33"/>
        <v>82000</v>
      </c>
      <c r="AE557" s="43"/>
      <c r="AL557" s="87" t="s">
        <v>819</v>
      </c>
      <c r="AM557" s="86">
        <v>389728</v>
      </c>
    </row>
    <row r="558" spans="13:39" hidden="1">
      <c r="M558" s="131">
        <v>82000</v>
      </c>
      <c r="N558" s="223">
        <v>516625</v>
      </c>
      <c r="O558" s="132" t="s">
        <v>244</v>
      </c>
      <c r="P558" s="132" t="s">
        <v>245</v>
      </c>
      <c r="Q558" s="133">
        <v>505</v>
      </c>
      <c r="R558" s="132" t="s">
        <v>279</v>
      </c>
      <c r="S558" s="132" t="s">
        <v>11</v>
      </c>
      <c r="T558" s="134">
        <v>42246</v>
      </c>
      <c r="U558" s="172">
        <f t="shared" si="34"/>
        <v>2015</v>
      </c>
      <c r="V558" s="172">
        <f t="shared" si="35"/>
        <v>8</v>
      </c>
      <c r="W558" s="44" t="s">
        <v>291</v>
      </c>
      <c r="X558" t="s">
        <v>892</v>
      </c>
      <c r="Y558">
        <v>1</v>
      </c>
      <c r="AA558" s="13">
        <f t="shared" si="33"/>
        <v>82000</v>
      </c>
      <c r="AE558" s="43"/>
      <c r="AL558" s="87" t="s">
        <v>819</v>
      </c>
      <c r="AM558" s="86">
        <v>389728</v>
      </c>
    </row>
    <row r="559" spans="13:39" hidden="1">
      <c r="M559" s="131">
        <v>82000</v>
      </c>
      <c r="N559" s="223">
        <v>529836</v>
      </c>
      <c r="O559" s="132" t="s">
        <v>244</v>
      </c>
      <c r="P559" s="132" t="s">
        <v>245</v>
      </c>
      <c r="Q559" s="133">
        <v>1432</v>
      </c>
      <c r="R559" s="132" t="s">
        <v>279</v>
      </c>
      <c r="S559" s="132" t="s">
        <v>11</v>
      </c>
      <c r="T559" s="134">
        <v>42548</v>
      </c>
      <c r="U559" s="172">
        <f t="shared" si="34"/>
        <v>2016</v>
      </c>
      <c r="V559" s="172">
        <f t="shared" si="35"/>
        <v>6</v>
      </c>
      <c r="W559" s="44" t="s">
        <v>280</v>
      </c>
      <c r="X559" t="s">
        <v>892</v>
      </c>
      <c r="Y559">
        <v>1</v>
      </c>
      <c r="AA559" s="13">
        <f t="shared" si="33"/>
        <v>82000</v>
      </c>
      <c r="AE559" s="43"/>
      <c r="AL559" s="87" t="s">
        <v>819</v>
      </c>
      <c r="AM559" s="86">
        <v>389728</v>
      </c>
    </row>
    <row r="560" spans="13:39" hidden="1">
      <c r="M560" s="131">
        <v>82000</v>
      </c>
      <c r="N560" s="223">
        <v>537809</v>
      </c>
      <c r="O560" s="132" t="s">
        <v>244</v>
      </c>
      <c r="P560" s="132" t="s">
        <v>245</v>
      </c>
      <c r="Q560" s="133">
        <v>1088</v>
      </c>
      <c r="R560" s="132" t="s">
        <v>279</v>
      </c>
      <c r="S560" s="132" t="s">
        <v>11</v>
      </c>
      <c r="T560" s="134">
        <v>42548</v>
      </c>
      <c r="U560" s="172">
        <f t="shared" si="34"/>
        <v>2016</v>
      </c>
      <c r="V560" s="172">
        <f t="shared" si="35"/>
        <v>6</v>
      </c>
      <c r="W560" s="44" t="s">
        <v>280</v>
      </c>
      <c r="X560" t="s">
        <v>892</v>
      </c>
      <c r="Y560">
        <v>1</v>
      </c>
      <c r="AA560" s="13">
        <f t="shared" si="33"/>
        <v>82000</v>
      </c>
      <c r="AE560" s="43"/>
      <c r="AL560" s="87" t="s">
        <v>819</v>
      </c>
      <c r="AM560" s="86">
        <v>389728</v>
      </c>
    </row>
    <row r="561" spans="13:39" hidden="1">
      <c r="M561" s="131">
        <v>82000</v>
      </c>
      <c r="N561" s="223">
        <v>607860</v>
      </c>
      <c r="O561" s="132" t="s">
        <v>244</v>
      </c>
      <c r="P561" s="132" t="s">
        <v>245</v>
      </c>
      <c r="Q561" s="133">
        <v>358</v>
      </c>
      <c r="R561" s="132" t="s">
        <v>279</v>
      </c>
      <c r="S561" s="132" t="s">
        <v>11</v>
      </c>
      <c r="T561" s="134">
        <v>42548</v>
      </c>
      <c r="U561" s="172">
        <f t="shared" si="34"/>
        <v>2016</v>
      </c>
      <c r="V561" s="172">
        <f t="shared" si="35"/>
        <v>6</v>
      </c>
      <c r="W561" s="44" t="s">
        <v>280</v>
      </c>
      <c r="X561" t="s">
        <v>892</v>
      </c>
      <c r="Y561">
        <v>1</v>
      </c>
      <c r="AA561" s="13">
        <f t="shared" si="33"/>
        <v>82000</v>
      </c>
      <c r="AE561" s="43"/>
      <c r="AL561" s="87" t="s">
        <v>819</v>
      </c>
      <c r="AM561" s="86">
        <v>389728</v>
      </c>
    </row>
    <row r="562" spans="13:39" hidden="1">
      <c r="M562" s="131">
        <v>82101</v>
      </c>
      <c r="N562" s="223">
        <v>546351</v>
      </c>
      <c r="O562" s="132" t="s">
        <v>244</v>
      </c>
      <c r="P562" s="132" t="s">
        <v>245</v>
      </c>
      <c r="Q562" s="133">
        <v>1231</v>
      </c>
      <c r="R562" s="132" t="s">
        <v>279</v>
      </c>
      <c r="S562" s="132" t="s">
        <v>11</v>
      </c>
      <c r="T562" s="134">
        <v>42548</v>
      </c>
      <c r="U562" s="172">
        <f t="shared" si="34"/>
        <v>2016</v>
      </c>
      <c r="V562" s="172">
        <f t="shared" si="35"/>
        <v>6</v>
      </c>
      <c r="W562" s="44" t="s">
        <v>280</v>
      </c>
      <c r="X562" t="s">
        <v>892</v>
      </c>
      <c r="Y562">
        <v>1</v>
      </c>
      <c r="AA562" s="13">
        <f t="shared" si="33"/>
        <v>82101</v>
      </c>
      <c r="AE562" s="43"/>
      <c r="AL562" s="87" t="s">
        <v>819</v>
      </c>
      <c r="AM562" s="86">
        <v>389728</v>
      </c>
    </row>
    <row r="563" spans="13:39" hidden="1">
      <c r="M563" s="131">
        <v>82200</v>
      </c>
      <c r="N563" s="223">
        <v>559450</v>
      </c>
      <c r="O563" s="132" t="s">
        <v>244</v>
      </c>
      <c r="P563" s="132" t="s">
        <v>245</v>
      </c>
      <c r="Q563" s="133">
        <v>1333</v>
      </c>
      <c r="R563" s="132" t="s">
        <v>279</v>
      </c>
      <c r="S563" s="132" t="s">
        <v>11</v>
      </c>
      <c r="T563" s="134">
        <v>42548</v>
      </c>
      <c r="U563" s="172">
        <f t="shared" si="34"/>
        <v>2016</v>
      </c>
      <c r="V563" s="172">
        <f t="shared" si="35"/>
        <v>6</v>
      </c>
      <c r="W563" s="44" t="s">
        <v>280</v>
      </c>
      <c r="X563" t="s">
        <v>892</v>
      </c>
      <c r="Y563">
        <v>1</v>
      </c>
      <c r="AA563" s="13">
        <f t="shared" si="33"/>
        <v>82200</v>
      </c>
      <c r="AE563" s="43"/>
      <c r="AL563" s="87" t="s">
        <v>819</v>
      </c>
      <c r="AM563" s="86">
        <v>389728</v>
      </c>
    </row>
    <row r="564" spans="13:39" hidden="1">
      <c r="M564" s="131">
        <v>82331</v>
      </c>
      <c r="N564" s="223">
        <v>490854</v>
      </c>
      <c r="O564" s="132" t="s">
        <v>244</v>
      </c>
      <c r="P564" s="132" t="s">
        <v>245</v>
      </c>
      <c r="Q564" s="133">
        <v>532</v>
      </c>
      <c r="R564" s="132" t="s">
        <v>279</v>
      </c>
      <c r="S564" s="132" t="s">
        <v>11</v>
      </c>
      <c r="T564" s="134">
        <v>42246</v>
      </c>
      <c r="U564" s="172">
        <f t="shared" si="34"/>
        <v>2015</v>
      </c>
      <c r="V564" s="172">
        <f t="shared" si="35"/>
        <v>8</v>
      </c>
      <c r="W564" s="44" t="s">
        <v>291</v>
      </c>
      <c r="X564" t="s">
        <v>892</v>
      </c>
      <c r="Y564">
        <v>1</v>
      </c>
      <c r="AA564" s="13">
        <f t="shared" si="33"/>
        <v>82331</v>
      </c>
      <c r="AE564" s="43"/>
      <c r="AL564" s="87" t="s">
        <v>819</v>
      </c>
      <c r="AM564" s="86">
        <v>389728</v>
      </c>
    </row>
    <row r="565" spans="13:39" hidden="1">
      <c r="M565" s="131">
        <v>82721</v>
      </c>
      <c r="N565" s="223">
        <v>479456</v>
      </c>
      <c r="O565" s="132" t="s">
        <v>244</v>
      </c>
      <c r="P565" s="132" t="s">
        <v>245</v>
      </c>
      <c r="Q565" s="133">
        <v>251</v>
      </c>
      <c r="R565" s="132" t="s">
        <v>279</v>
      </c>
      <c r="S565" s="132" t="s">
        <v>11</v>
      </c>
      <c r="T565" s="134">
        <v>42246</v>
      </c>
      <c r="U565" s="172">
        <f t="shared" si="34"/>
        <v>2015</v>
      </c>
      <c r="V565" s="172">
        <f t="shared" si="35"/>
        <v>8</v>
      </c>
      <c r="W565" s="44" t="s">
        <v>291</v>
      </c>
      <c r="X565" t="s">
        <v>892</v>
      </c>
      <c r="Y565">
        <v>1</v>
      </c>
      <c r="AA565" s="13">
        <f t="shared" si="33"/>
        <v>82721</v>
      </c>
      <c r="AE565" s="43"/>
      <c r="AL565" s="87" t="s">
        <v>819</v>
      </c>
      <c r="AM565" s="86">
        <v>390590</v>
      </c>
    </row>
    <row r="566" spans="13:39" hidden="1">
      <c r="M566" s="131">
        <v>83000</v>
      </c>
      <c r="N566" s="223">
        <v>484413</v>
      </c>
      <c r="O566" s="132" t="s">
        <v>244</v>
      </c>
      <c r="P566" s="132" t="s">
        <v>245</v>
      </c>
      <c r="Q566" s="133">
        <v>377</v>
      </c>
      <c r="R566" s="132" t="s">
        <v>279</v>
      </c>
      <c r="S566" s="132" t="s">
        <v>11</v>
      </c>
      <c r="T566" s="134">
        <v>42246</v>
      </c>
      <c r="U566" s="172">
        <f t="shared" si="34"/>
        <v>2015</v>
      </c>
      <c r="V566" s="172">
        <f t="shared" si="35"/>
        <v>8</v>
      </c>
      <c r="W566" s="44" t="s">
        <v>291</v>
      </c>
      <c r="X566" t="s">
        <v>892</v>
      </c>
      <c r="Y566">
        <v>1</v>
      </c>
      <c r="AA566" s="13">
        <f t="shared" si="33"/>
        <v>83000</v>
      </c>
      <c r="AE566" s="43"/>
      <c r="AL566" s="87" t="s">
        <v>819</v>
      </c>
      <c r="AM566" s="86">
        <v>390590</v>
      </c>
    </row>
    <row r="567" spans="13:39" hidden="1">
      <c r="M567" s="131">
        <v>83000</v>
      </c>
      <c r="N567" s="223">
        <v>492342</v>
      </c>
      <c r="O567" s="132" t="s">
        <v>244</v>
      </c>
      <c r="P567" s="132" t="s">
        <v>245</v>
      </c>
      <c r="Q567" s="133">
        <v>23</v>
      </c>
      <c r="R567" s="132" t="s">
        <v>279</v>
      </c>
      <c r="S567" s="132" t="s">
        <v>11</v>
      </c>
      <c r="T567" s="134">
        <v>42246</v>
      </c>
      <c r="U567" s="172">
        <f t="shared" si="34"/>
        <v>2015</v>
      </c>
      <c r="V567" s="172">
        <f t="shared" si="35"/>
        <v>8</v>
      </c>
      <c r="W567" s="44" t="s">
        <v>291</v>
      </c>
      <c r="X567" t="s">
        <v>892</v>
      </c>
      <c r="Y567">
        <v>1</v>
      </c>
      <c r="AA567" s="13">
        <f t="shared" si="33"/>
        <v>83000</v>
      </c>
      <c r="AE567" s="43"/>
      <c r="AL567" s="87" t="s">
        <v>819</v>
      </c>
      <c r="AM567" s="86">
        <v>392170</v>
      </c>
    </row>
    <row r="568" spans="13:39" hidden="1">
      <c r="M568" s="131">
        <v>83000</v>
      </c>
      <c r="N568" s="223">
        <v>492837</v>
      </c>
      <c r="O568" s="132" t="s">
        <v>244</v>
      </c>
      <c r="P568" s="132" t="s">
        <v>245</v>
      </c>
      <c r="Q568" s="133">
        <v>292</v>
      </c>
      <c r="R568" s="132" t="s">
        <v>279</v>
      </c>
      <c r="S568" s="132" t="s">
        <v>11</v>
      </c>
      <c r="T568" s="134">
        <v>42246</v>
      </c>
      <c r="U568" s="172">
        <f t="shared" si="34"/>
        <v>2015</v>
      </c>
      <c r="V568" s="172">
        <f t="shared" si="35"/>
        <v>8</v>
      </c>
      <c r="W568" s="44" t="s">
        <v>291</v>
      </c>
      <c r="X568" t="s">
        <v>892</v>
      </c>
      <c r="Y568">
        <v>1</v>
      </c>
      <c r="AA568" s="13">
        <f t="shared" si="33"/>
        <v>83000</v>
      </c>
      <c r="AE568" s="43"/>
      <c r="AL568" s="87" t="s">
        <v>819</v>
      </c>
      <c r="AM568" s="86">
        <v>392170</v>
      </c>
    </row>
    <row r="569" spans="13:39" hidden="1">
      <c r="M569" s="131">
        <v>83000</v>
      </c>
      <c r="N569" s="223">
        <v>540656</v>
      </c>
      <c r="O569" s="132" t="s">
        <v>244</v>
      </c>
      <c r="P569" s="132" t="s">
        <v>245</v>
      </c>
      <c r="Q569" s="133">
        <v>1115</v>
      </c>
      <c r="R569" s="132" t="s">
        <v>279</v>
      </c>
      <c r="S569" s="132" t="s">
        <v>11</v>
      </c>
      <c r="T569" s="134">
        <v>42548</v>
      </c>
      <c r="U569" s="172">
        <f t="shared" si="34"/>
        <v>2016</v>
      </c>
      <c r="V569" s="172">
        <f t="shared" si="35"/>
        <v>6</v>
      </c>
      <c r="W569" s="44" t="s">
        <v>280</v>
      </c>
      <c r="X569" t="s">
        <v>892</v>
      </c>
      <c r="Y569">
        <v>1</v>
      </c>
      <c r="AA569" s="13">
        <f t="shared" si="33"/>
        <v>83000</v>
      </c>
      <c r="AE569" s="43"/>
      <c r="AL569" s="87" t="s">
        <v>819</v>
      </c>
      <c r="AM569" s="86">
        <v>392170</v>
      </c>
    </row>
    <row r="570" spans="13:39" hidden="1">
      <c r="M570" s="131">
        <v>83000</v>
      </c>
      <c r="N570" s="223">
        <v>569133</v>
      </c>
      <c r="O570" s="132" t="s">
        <v>244</v>
      </c>
      <c r="P570" s="132" t="s">
        <v>245</v>
      </c>
      <c r="Q570" s="133">
        <v>20</v>
      </c>
      <c r="R570" s="132" t="s">
        <v>279</v>
      </c>
      <c r="S570" s="132" t="s">
        <v>11</v>
      </c>
      <c r="T570" s="134">
        <v>42548</v>
      </c>
      <c r="U570" s="172">
        <f t="shared" si="34"/>
        <v>2016</v>
      </c>
      <c r="V570" s="172">
        <f t="shared" si="35"/>
        <v>6</v>
      </c>
      <c r="W570" s="44" t="s">
        <v>280</v>
      </c>
      <c r="X570" t="s">
        <v>892</v>
      </c>
      <c r="Y570">
        <v>1</v>
      </c>
      <c r="AA570" s="13">
        <f t="shared" si="33"/>
        <v>83000</v>
      </c>
      <c r="AE570" s="43"/>
      <c r="AL570" s="87" t="s">
        <v>819</v>
      </c>
      <c r="AM570" s="86">
        <v>392170</v>
      </c>
    </row>
    <row r="571" spans="13:39" hidden="1">
      <c r="M571" s="131">
        <v>83100</v>
      </c>
      <c r="N571" s="223">
        <v>547490</v>
      </c>
      <c r="O571" s="132" t="s">
        <v>244</v>
      </c>
      <c r="P571" s="132" t="s">
        <v>245</v>
      </c>
      <c r="Q571" s="133">
        <v>1209</v>
      </c>
      <c r="R571" s="132" t="s">
        <v>279</v>
      </c>
      <c r="S571" s="132" t="s">
        <v>11</v>
      </c>
      <c r="T571" s="134">
        <v>42548</v>
      </c>
      <c r="U571" s="172">
        <f t="shared" si="34"/>
        <v>2016</v>
      </c>
      <c r="V571" s="172">
        <f t="shared" si="35"/>
        <v>6</v>
      </c>
      <c r="W571" s="44" t="s">
        <v>280</v>
      </c>
      <c r="X571" t="s">
        <v>892</v>
      </c>
      <c r="Y571">
        <v>1</v>
      </c>
      <c r="AA571" s="13">
        <f t="shared" si="33"/>
        <v>83100</v>
      </c>
      <c r="AE571" s="43"/>
      <c r="AL571" s="87" t="s">
        <v>819</v>
      </c>
      <c r="AM571" s="86">
        <v>392170</v>
      </c>
    </row>
    <row r="572" spans="13:39" hidden="1">
      <c r="M572" s="131">
        <v>83416</v>
      </c>
      <c r="N572" s="223">
        <v>552047</v>
      </c>
      <c r="O572" s="132" t="s">
        <v>244</v>
      </c>
      <c r="P572" s="132" t="s">
        <v>245</v>
      </c>
      <c r="Q572" s="133">
        <v>1019</v>
      </c>
      <c r="R572" s="132" t="s">
        <v>279</v>
      </c>
      <c r="S572" s="132" t="s">
        <v>11</v>
      </c>
      <c r="T572" s="134">
        <v>42548</v>
      </c>
      <c r="U572" s="172">
        <f t="shared" si="34"/>
        <v>2016</v>
      </c>
      <c r="V572" s="172">
        <f t="shared" si="35"/>
        <v>6</v>
      </c>
      <c r="W572" s="44" t="s">
        <v>280</v>
      </c>
      <c r="X572" t="s">
        <v>892</v>
      </c>
      <c r="Y572">
        <v>1</v>
      </c>
      <c r="AA572" s="13">
        <f t="shared" si="33"/>
        <v>83416</v>
      </c>
      <c r="AE572" s="43"/>
      <c r="AL572" s="87" t="s">
        <v>819</v>
      </c>
      <c r="AM572" s="86">
        <v>392170</v>
      </c>
    </row>
    <row r="573" spans="13:39" hidden="1">
      <c r="M573" s="131">
        <v>83500</v>
      </c>
      <c r="N573" s="223">
        <v>571410</v>
      </c>
      <c r="O573" s="132" t="s">
        <v>244</v>
      </c>
      <c r="P573" s="132" t="s">
        <v>245</v>
      </c>
      <c r="Q573" s="133">
        <v>21</v>
      </c>
      <c r="R573" s="132" t="s">
        <v>279</v>
      </c>
      <c r="S573" s="132" t="s">
        <v>11</v>
      </c>
      <c r="T573" s="134">
        <v>42548</v>
      </c>
      <c r="U573" s="172">
        <f t="shared" si="34"/>
        <v>2016</v>
      </c>
      <c r="V573" s="172">
        <f t="shared" si="35"/>
        <v>6</v>
      </c>
      <c r="W573" s="44" t="s">
        <v>280</v>
      </c>
      <c r="X573" t="s">
        <v>892</v>
      </c>
      <c r="Y573">
        <v>1</v>
      </c>
      <c r="AA573" s="13">
        <f t="shared" si="33"/>
        <v>83500</v>
      </c>
      <c r="AE573" s="43"/>
      <c r="AL573" s="87" t="s">
        <v>819</v>
      </c>
      <c r="AM573" s="86">
        <v>392170</v>
      </c>
    </row>
    <row r="574" spans="13:39" hidden="1">
      <c r="M574" s="131">
        <v>83550</v>
      </c>
      <c r="N574" s="223">
        <v>543504</v>
      </c>
      <c r="O574" s="132" t="s">
        <v>244</v>
      </c>
      <c r="P574" s="132" t="s">
        <v>245</v>
      </c>
      <c r="Q574" s="133">
        <v>1461</v>
      </c>
      <c r="R574" s="132" t="s">
        <v>279</v>
      </c>
      <c r="S574" s="132" t="s">
        <v>11</v>
      </c>
      <c r="T574" s="134">
        <v>42548</v>
      </c>
      <c r="U574" s="172">
        <f t="shared" si="34"/>
        <v>2016</v>
      </c>
      <c r="V574" s="172">
        <f t="shared" si="35"/>
        <v>6</v>
      </c>
      <c r="W574" s="44" t="s">
        <v>280</v>
      </c>
      <c r="X574" t="s">
        <v>892</v>
      </c>
      <c r="Y574">
        <v>1</v>
      </c>
      <c r="AA574" s="13">
        <f t="shared" si="33"/>
        <v>83550</v>
      </c>
      <c r="AE574" s="43"/>
      <c r="AL574" s="87" t="s">
        <v>819</v>
      </c>
      <c r="AM574" s="86">
        <v>393391</v>
      </c>
    </row>
    <row r="575" spans="13:39" hidden="1">
      <c r="M575" s="131">
        <v>84000</v>
      </c>
      <c r="N575" s="223">
        <v>488873</v>
      </c>
      <c r="O575" s="132" t="s">
        <v>244</v>
      </c>
      <c r="P575" s="132" t="s">
        <v>245</v>
      </c>
      <c r="Q575" s="133">
        <v>170</v>
      </c>
      <c r="R575" s="132" t="s">
        <v>279</v>
      </c>
      <c r="S575" s="132" t="s">
        <v>11</v>
      </c>
      <c r="T575" s="134">
        <v>42246</v>
      </c>
      <c r="U575" s="172">
        <f t="shared" si="34"/>
        <v>2015</v>
      </c>
      <c r="V575" s="172">
        <f t="shared" si="35"/>
        <v>8</v>
      </c>
      <c r="W575" s="44" t="s">
        <v>291</v>
      </c>
      <c r="X575" t="s">
        <v>892</v>
      </c>
      <c r="Y575">
        <v>1</v>
      </c>
      <c r="AA575" s="13">
        <f t="shared" si="33"/>
        <v>84000</v>
      </c>
      <c r="AE575" s="43"/>
      <c r="AL575" s="87" t="s">
        <v>819</v>
      </c>
      <c r="AM575" s="86">
        <v>393391</v>
      </c>
    </row>
    <row r="576" spans="13:39" hidden="1">
      <c r="M576" s="131">
        <v>84484</v>
      </c>
      <c r="N576" s="223">
        <v>486394</v>
      </c>
      <c r="O576" s="132" t="s">
        <v>244</v>
      </c>
      <c r="P576" s="132" t="s">
        <v>245</v>
      </c>
      <c r="Q576" s="133">
        <v>362</v>
      </c>
      <c r="R576" s="132" t="s">
        <v>279</v>
      </c>
      <c r="S576" s="132" t="s">
        <v>11</v>
      </c>
      <c r="T576" s="134">
        <v>42246</v>
      </c>
      <c r="U576" s="172">
        <f t="shared" si="34"/>
        <v>2015</v>
      </c>
      <c r="V576" s="172">
        <f t="shared" si="35"/>
        <v>8</v>
      </c>
      <c r="W576" s="44" t="s">
        <v>291</v>
      </c>
      <c r="X576" t="s">
        <v>892</v>
      </c>
      <c r="Y576">
        <v>1</v>
      </c>
      <c r="AA576" s="13">
        <f t="shared" si="33"/>
        <v>84484</v>
      </c>
      <c r="AE576" s="43"/>
      <c r="AL576" s="87" t="s">
        <v>819</v>
      </c>
      <c r="AM576" s="86">
        <v>394611</v>
      </c>
    </row>
    <row r="577" spans="13:39" hidden="1">
      <c r="M577" s="131">
        <v>84745</v>
      </c>
      <c r="N577" s="223">
        <v>493333</v>
      </c>
      <c r="O577" s="132" t="s">
        <v>244</v>
      </c>
      <c r="P577" s="132" t="s">
        <v>245</v>
      </c>
      <c r="Q577" s="133">
        <v>171</v>
      </c>
      <c r="R577" s="132" t="s">
        <v>279</v>
      </c>
      <c r="S577" s="132" t="s">
        <v>11</v>
      </c>
      <c r="T577" s="134">
        <v>42246</v>
      </c>
      <c r="U577" s="172">
        <f t="shared" si="34"/>
        <v>2015</v>
      </c>
      <c r="V577" s="172">
        <f t="shared" si="35"/>
        <v>8</v>
      </c>
      <c r="W577" s="44" t="s">
        <v>291</v>
      </c>
      <c r="X577" t="s">
        <v>892</v>
      </c>
      <c r="Y577">
        <v>1</v>
      </c>
      <c r="AA577" s="13">
        <f t="shared" si="33"/>
        <v>84745</v>
      </c>
      <c r="AE577" s="43"/>
      <c r="AL577" s="87" t="s">
        <v>819</v>
      </c>
      <c r="AM577" s="86">
        <v>394611</v>
      </c>
    </row>
    <row r="578" spans="13:39" hidden="1">
      <c r="M578" s="131">
        <v>84940</v>
      </c>
      <c r="N578" s="223">
        <v>476466</v>
      </c>
      <c r="O578" s="132" t="s">
        <v>244</v>
      </c>
      <c r="P578" s="132" t="s">
        <v>245</v>
      </c>
      <c r="Q578" s="133">
        <v>1197</v>
      </c>
      <c r="R578" s="132" t="s">
        <v>279</v>
      </c>
      <c r="S578" s="132" t="s">
        <v>11</v>
      </c>
      <c r="T578" s="134">
        <v>42548</v>
      </c>
      <c r="U578" s="172">
        <f t="shared" si="34"/>
        <v>2016</v>
      </c>
      <c r="V578" s="172">
        <f t="shared" si="35"/>
        <v>6</v>
      </c>
      <c r="W578" s="44" t="s">
        <v>280</v>
      </c>
      <c r="X578" t="s">
        <v>892</v>
      </c>
      <c r="Y578">
        <v>1</v>
      </c>
      <c r="AA578" s="13">
        <f t="shared" si="33"/>
        <v>84940</v>
      </c>
      <c r="AE578" s="43"/>
      <c r="AL578" s="87" t="s">
        <v>819</v>
      </c>
      <c r="AM578" s="86">
        <v>39495178</v>
      </c>
    </row>
    <row r="579" spans="13:39" hidden="1">
      <c r="M579" s="131">
        <v>85000</v>
      </c>
      <c r="N579" s="223">
        <v>487882</v>
      </c>
      <c r="O579" s="132" t="s">
        <v>244</v>
      </c>
      <c r="P579" s="132" t="s">
        <v>245</v>
      </c>
      <c r="Q579" s="133">
        <v>154</v>
      </c>
      <c r="R579" s="132" t="s">
        <v>279</v>
      </c>
      <c r="S579" s="132" t="s">
        <v>11</v>
      </c>
      <c r="T579" s="134">
        <v>42246</v>
      </c>
      <c r="U579" s="172">
        <f t="shared" si="34"/>
        <v>2015</v>
      </c>
      <c r="V579" s="172">
        <f t="shared" si="35"/>
        <v>8</v>
      </c>
      <c r="W579" s="44" t="s">
        <v>291</v>
      </c>
      <c r="X579" t="s">
        <v>892</v>
      </c>
      <c r="Y579">
        <v>1</v>
      </c>
      <c r="AA579" s="13">
        <f t="shared" si="33"/>
        <v>85000</v>
      </c>
      <c r="AE579" s="43"/>
      <c r="AL579" s="87" t="s">
        <v>819</v>
      </c>
      <c r="AM579" s="86">
        <v>395101</v>
      </c>
    </row>
    <row r="580" spans="13:39" hidden="1">
      <c r="M580" s="131">
        <v>85000</v>
      </c>
      <c r="N580" s="223">
        <v>490359</v>
      </c>
      <c r="O580" s="132" t="s">
        <v>244</v>
      </c>
      <c r="P580" s="132" t="s">
        <v>245</v>
      </c>
      <c r="Q580" s="133">
        <v>101</v>
      </c>
      <c r="R580" s="132" t="s">
        <v>279</v>
      </c>
      <c r="S580" s="132" t="s">
        <v>11</v>
      </c>
      <c r="T580" s="134">
        <v>42246</v>
      </c>
      <c r="U580" s="172">
        <f t="shared" si="34"/>
        <v>2015</v>
      </c>
      <c r="V580" s="172">
        <f t="shared" si="35"/>
        <v>8</v>
      </c>
      <c r="W580" s="44" t="s">
        <v>291</v>
      </c>
      <c r="X580" t="s">
        <v>892</v>
      </c>
      <c r="Y580">
        <v>1</v>
      </c>
      <c r="AA580" s="13">
        <f t="shared" ref="AA580:AA643" si="36">IF(M580&lt;30000,Y580*100*M580*(1-$L$1)-$L$2*Y580,M580)</f>
        <v>85000</v>
      </c>
      <c r="AE580" s="43"/>
      <c r="AL580" s="87" t="s">
        <v>819</v>
      </c>
      <c r="AM580" s="86">
        <v>395832</v>
      </c>
    </row>
    <row r="581" spans="13:39" hidden="1">
      <c r="M581" s="131">
        <v>85000</v>
      </c>
      <c r="N581" s="223">
        <v>491845</v>
      </c>
      <c r="O581" s="132" t="s">
        <v>244</v>
      </c>
      <c r="P581" s="132" t="s">
        <v>245</v>
      </c>
      <c r="Q581" s="133">
        <v>357</v>
      </c>
      <c r="R581" s="132" t="s">
        <v>279</v>
      </c>
      <c r="S581" s="132" t="s">
        <v>11</v>
      </c>
      <c r="T581" s="134">
        <v>42246</v>
      </c>
      <c r="U581" s="172">
        <f t="shared" si="34"/>
        <v>2015</v>
      </c>
      <c r="V581" s="172">
        <f t="shared" si="35"/>
        <v>8</v>
      </c>
      <c r="W581" s="44" t="s">
        <v>291</v>
      </c>
      <c r="X581" t="s">
        <v>892</v>
      </c>
      <c r="Y581">
        <v>1</v>
      </c>
      <c r="AA581" s="13">
        <f t="shared" si="36"/>
        <v>85000</v>
      </c>
      <c r="AE581" s="43"/>
      <c r="AL581" s="87" t="s">
        <v>819</v>
      </c>
      <c r="AM581" s="86">
        <v>395832</v>
      </c>
    </row>
    <row r="582" spans="13:39" hidden="1">
      <c r="M582" s="131">
        <v>85000</v>
      </c>
      <c r="N582" s="223">
        <v>508696</v>
      </c>
      <c r="O582" s="132" t="s">
        <v>244</v>
      </c>
      <c r="P582" s="132" t="s">
        <v>245</v>
      </c>
      <c r="Q582" s="133">
        <v>464</v>
      </c>
      <c r="R582" s="132" t="s">
        <v>279</v>
      </c>
      <c r="S582" s="132" t="s">
        <v>11</v>
      </c>
      <c r="T582" s="134">
        <v>42246</v>
      </c>
      <c r="U582" s="172">
        <f t="shared" si="34"/>
        <v>2015</v>
      </c>
      <c r="V582" s="172">
        <f t="shared" si="35"/>
        <v>8</v>
      </c>
      <c r="W582" s="44" t="s">
        <v>291</v>
      </c>
      <c r="X582" t="s">
        <v>892</v>
      </c>
      <c r="Y582">
        <v>1</v>
      </c>
      <c r="AA582" s="13">
        <f t="shared" si="36"/>
        <v>85000</v>
      </c>
      <c r="AE582" s="43"/>
      <c r="AL582" s="87" t="s">
        <v>819</v>
      </c>
      <c r="AM582" s="86">
        <v>395832</v>
      </c>
    </row>
    <row r="583" spans="13:39" hidden="1">
      <c r="M583" s="131">
        <v>85000</v>
      </c>
      <c r="N583" s="223">
        <v>539517</v>
      </c>
      <c r="O583" s="132" t="s">
        <v>244</v>
      </c>
      <c r="P583" s="132" t="s">
        <v>245</v>
      </c>
      <c r="Q583" s="133">
        <v>1574</v>
      </c>
      <c r="R583" s="132" t="s">
        <v>279</v>
      </c>
      <c r="S583" s="132" t="s">
        <v>11</v>
      </c>
      <c r="T583" s="134">
        <v>42548</v>
      </c>
      <c r="U583" s="172">
        <f t="shared" ref="U583:U646" si="37">YEAR($T583)</f>
        <v>2016</v>
      </c>
      <c r="V583" s="172">
        <f t="shared" ref="V583:V646" si="38">MONTH($T583)</f>
        <v>6</v>
      </c>
      <c r="W583" s="44" t="s">
        <v>280</v>
      </c>
      <c r="X583" t="s">
        <v>892</v>
      </c>
      <c r="Y583">
        <v>1</v>
      </c>
      <c r="AA583" s="13">
        <f t="shared" si="36"/>
        <v>85000</v>
      </c>
      <c r="AE583" s="43"/>
      <c r="AL583" s="87" t="s">
        <v>819</v>
      </c>
      <c r="AM583" s="86">
        <v>396048</v>
      </c>
    </row>
    <row r="584" spans="13:39" hidden="1">
      <c r="M584" s="131">
        <v>85000</v>
      </c>
      <c r="N584" s="223">
        <v>542935</v>
      </c>
      <c r="O584" s="132" t="s">
        <v>244</v>
      </c>
      <c r="P584" s="132" t="s">
        <v>245</v>
      </c>
      <c r="Q584" s="133">
        <v>1029</v>
      </c>
      <c r="R584" s="132" t="s">
        <v>279</v>
      </c>
      <c r="S584" s="132" t="s">
        <v>11</v>
      </c>
      <c r="T584" s="134">
        <v>42548</v>
      </c>
      <c r="U584" s="172">
        <f t="shared" si="37"/>
        <v>2016</v>
      </c>
      <c r="V584" s="172">
        <f t="shared" si="38"/>
        <v>6</v>
      </c>
      <c r="W584" s="44" t="s">
        <v>280</v>
      </c>
      <c r="X584" t="s">
        <v>892</v>
      </c>
      <c r="Y584">
        <v>1</v>
      </c>
      <c r="AA584" s="13">
        <f t="shared" si="36"/>
        <v>85000</v>
      </c>
      <c r="AE584" s="43"/>
      <c r="AL584" s="87" t="s">
        <v>819</v>
      </c>
      <c r="AM584" s="86">
        <v>39686614</v>
      </c>
    </row>
    <row r="585" spans="13:39" hidden="1">
      <c r="M585" s="131">
        <v>85000</v>
      </c>
      <c r="N585" s="223">
        <v>555464</v>
      </c>
      <c r="O585" s="132" t="s">
        <v>244</v>
      </c>
      <c r="P585" s="132" t="s">
        <v>245</v>
      </c>
      <c r="Q585" s="133">
        <v>1204</v>
      </c>
      <c r="R585" s="132" t="s">
        <v>279</v>
      </c>
      <c r="S585" s="132" t="s">
        <v>11</v>
      </c>
      <c r="T585" s="134">
        <v>42548</v>
      </c>
      <c r="U585" s="172">
        <f t="shared" si="37"/>
        <v>2016</v>
      </c>
      <c r="V585" s="172">
        <f t="shared" si="38"/>
        <v>6</v>
      </c>
      <c r="W585" s="44" t="s">
        <v>280</v>
      </c>
      <c r="X585" t="s">
        <v>892</v>
      </c>
      <c r="Y585">
        <v>1</v>
      </c>
      <c r="AA585" s="13">
        <f t="shared" si="36"/>
        <v>85000</v>
      </c>
      <c r="AE585" s="43"/>
      <c r="AL585" s="87" t="s">
        <v>819</v>
      </c>
      <c r="AM585" s="86">
        <v>396999</v>
      </c>
    </row>
    <row r="586" spans="13:39" hidden="1">
      <c r="M586" s="131">
        <v>85001</v>
      </c>
      <c r="N586" s="223">
        <v>557742</v>
      </c>
      <c r="O586" s="132" t="s">
        <v>244</v>
      </c>
      <c r="P586" s="132" t="s">
        <v>245</v>
      </c>
      <c r="Q586" s="133">
        <v>1008</v>
      </c>
      <c r="R586" s="132" t="s">
        <v>279</v>
      </c>
      <c r="S586" s="132" t="s">
        <v>11</v>
      </c>
      <c r="T586" s="134">
        <v>42548</v>
      </c>
      <c r="U586" s="172">
        <f t="shared" si="37"/>
        <v>2016</v>
      </c>
      <c r="V586" s="172">
        <f t="shared" si="38"/>
        <v>6</v>
      </c>
      <c r="W586" s="44" t="s">
        <v>280</v>
      </c>
      <c r="X586" t="s">
        <v>892</v>
      </c>
      <c r="Y586">
        <v>1</v>
      </c>
      <c r="AA586" s="13">
        <f t="shared" si="36"/>
        <v>85001</v>
      </c>
      <c r="AE586" s="43"/>
      <c r="AL586" s="87" t="s">
        <v>819</v>
      </c>
      <c r="AM586" s="86">
        <v>397883</v>
      </c>
    </row>
    <row r="587" spans="13:39" hidden="1">
      <c r="M587" s="131">
        <v>85012</v>
      </c>
      <c r="N587" s="223">
        <v>490854</v>
      </c>
      <c r="O587" s="132" t="s">
        <v>244</v>
      </c>
      <c r="P587" s="132" t="s">
        <v>245</v>
      </c>
      <c r="Q587" s="133">
        <v>285</v>
      </c>
      <c r="R587" s="132" t="s">
        <v>279</v>
      </c>
      <c r="S587" s="132" t="s">
        <v>11</v>
      </c>
      <c r="T587" s="134">
        <v>42246</v>
      </c>
      <c r="U587" s="172">
        <f t="shared" si="37"/>
        <v>2015</v>
      </c>
      <c r="V587" s="172">
        <f t="shared" si="38"/>
        <v>8</v>
      </c>
      <c r="W587" s="44" t="s">
        <v>291</v>
      </c>
      <c r="X587" t="s">
        <v>892</v>
      </c>
      <c r="Y587">
        <v>1</v>
      </c>
      <c r="AA587" s="13">
        <f t="shared" si="36"/>
        <v>85012</v>
      </c>
      <c r="AE587" s="43"/>
      <c r="AL587" s="87" t="s">
        <v>819</v>
      </c>
      <c r="AM587" s="86">
        <v>397883</v>
      </c>
    </row>
    <row r="588" spans="13:39" hidden="1">
      <c r="M588" s="131">
        <v>85126</v>
      </c>
      <c r="N588" s="223">
        <v>493828</v>
      </c>
      <c r="O588" s="132" t="s">
        <v>244</v>
      </c>
      <c r="P588" s="132" t="s">
        <v>245</v>
      </c>
      <c r="Q588" s="133">
        <v>496</v>
      </c>
      <c r="R588" s="132" t="s">
        <v>279</v>
      </c>
      <c r="S588" s="132" t="s">
        <v>11</v>
      </c>
      <c r="T588" s="134">
        <v>42246</v>
      </c>
      <c r="U588" s="172">
        <f t="shared" si="37"/>
        <v>2015</v>
      </c>
      <c r="V588" s="172">
        <f t="shared" si="38"/>
        <v>8</v>
      </c>
      <c r="W588" s="44" t="s">
        <v>291</v>
      </c>
      <c r="X588" t="s">
        <v>892</v>
      </c>
      <c r="Y588">
        <v>1</v>
      </c>
      <c r="AA588" s="13">
        <f t="shared" si="36"/>
        <v>85126</v>
      </c>
      <c r="AE588" s="43"/>
      <c r="AL588" s="87" t="s">
        <v>819</v>
      </c>
      <c r="AM588" s="86">
        <v>397883</v>
      </c>
    </row>
    <row r="589" spans="13:39" hidden="1">
      <c r="M589" s="131">
        <v>85470</v>
      </c>
      <c r="N589" s="223">
        <v>541796</v>
      </c>
      <c r="O589" s="132" t="s">
        <v>244</v>
      </c>
      <c r="P589" s="132" t="s">
        <v>245</v>
      </c>
      <c r="Q589" s="133">
        <v>1111</v>
      </c>
      <c r="R589" s="132" t="s">
        <v>279</v>
      </c>
      <c r="S589" s="132" t="s">
        <v>11</v>
      </c>
      <c r="T589" s="134">
        <v>42548</v>
      </c>
      <c r="U589" s="172">
        <f t="shared" si="37"/>
        <v>2016</v>
      </c>
      <c r="V589" s="172">
        <f t="shared" si="38"/>
        <v>6</v>
      </c>
      <c r="W589" s="44" t="s">
        <v>280</v>
      </c>
      <c r="X589" t="s">
        <v>892</v>
      </c>
      <c r="Y589">
        <v>1</v>
      </c>
      <c r="AA589" s="13">
        <f t="shared" si="36"/>
        <v>85470</v>
      </c>
      <c r="AE589" s="43"/>
      <c r="AL589" s="87" t="s">
        <v>819</v>
      </c>
      <c r="AM589" s="86">
        <v>39789350</v>
      </c>
    </row>
    <row r="590" spans="13:39" hidden="1">
      <c r="M590" s="131">
        <v>85500</v>
      </c>
      <c r="N590" s="223">
        <v>491845</v>
      </c>
      <c r="O590" s="132" t="s">
        <v>244</v>
      </c>
      <c r="P590" s="132" t="s">
        <v>245</v>
      </c>
      <c r="Q590" s="133">
        <v>451</v>
      </c>
      <c r="R590" s="132" t="s">
        <v>279</v>
      </c>
      <c r="S590" s="132" t="s">
        <v>11</v>
      </c>
      <c r="T590" s="134">
        <v>42246</v>
      </c>
      <c r="U590" s="172">
        <f t="shared" si="37"/>
        <v>2015</v>
      </c>
      <c r="V590" s="172">
        <f t="shared" si="38"/>
        <v>8</v>
      </c>
      <c r="W590" s="44" t="s">
        <v>291</v>
      </c>
      <c r="X590" t="s">
        <v>892</v>
      </c>
      <c r="Y590">
        <v>1</v>
      </c>
      <c r="AA590" s="13">
        <f t="shared" si="36"/>
        <v>85500</v>
      </c>
      <c r="AE590" s="43"/>
      <c r="AL590" s="87" t="s">
        <v>819</v>
      </c>
      <c r="AM590" s="86">
        <v>398274</v>
      </c>
    </row>
    <row r="591" spans="13:39" hidden="1">
      <c r="M591" s="131">
        <v>85556</v>
      </c>
      <c r="N591" s="223">
        <v>550338</v>
      </c>
      <c r="O591" s="132" t="s">
        <v>244</v>
      </c>
      <c r="P591" s="132" t="s">
        <v>245</v>
      </c>
      <c r="Q591" s="133">
        <v>384</v>
      </c>
      <c r="R591" s="132" t="s">
        <v>279</v>
      </c>
      <c r="S591" s="132" t="s">
        <v>11</v>
      </c>
      <c r="T591" s="134">
        <v>42548</v>
      </c>
      <c r="U591" s="172">
        <f t="shared" si="37"/>
        <v>2016</v>
      </c>
      <c r="V591" s="172">
        <f t="shared" si="38"/>
        <v>6</v>
      </c>
      <c r="W591" s="44" t="s">
        <v>280</v>
      </c>
      <c r="X591" t="s">
        <v>892</v>
      </c>
      <c r="Y591">
        <v>1</v>
      </c>
      <c r="AA591" s="13">
        <f t="shared" si="36"/>
        <v>85556</v>
      </c>
      <c r="AE591" s="43"/>
      <c r="AL591" s="87" t="s">
        <v>819</v>
      </c>
      <c r="AM591" s="86">
        <v>398274</v>
      </c>
    </row>
    <row r="592" spans="13:39" hidden="1">
      <c r="M592" s="131">
        <v>85556</v>
      </c>
      <c r="N592" s="223">
        <v>554895</v>
      </c>
      <c r="O592" s="132" t="s">
        <v>244</v>
      </c>
      <c r="P592" s="132" t="s">
        <v>245</v>
      </c>
      <c r="Q592" s="133">
        <v>1282</v>
      </c>
      <c r="R592" s="132" t="s">
        <v>279</v>
      </c>
      <c r="S592" s="132" t="s">
        <v>11</v>
      </c>
      <c r="T592" s="134">
        <v>42548</v>
      </c>
      <c r="U592" s="172">
        <f t="shared" si="37"/>
        <v>2016</v>
      </c>
      <c r="V592" s="172">
        <f t="shared" si="38"/>
        <v>6</v>
      </c>
      <c r="W592" s="44" t="s">
        <v>280</v>
      </c>
      <c r="X592" t="s">
        <v>892</v>
      </c>
      <c r="Y592">
        <v>1</v>
      </c>
      <c r="AA592" s="13">
        <f t="shared" si="36"/>
        <v>85556</v>
      </c>
      <c r="AE592" s="43"/>
      <c r="AL592" s="87" t="s">
        <v>819</v>
      </c>
      <c r="AM592" s="86">
        <v>398274</v>
      </c>
    </row>
    <row r="593" spans="13:39" hidden="1">
      <c r="M593" s="131">
        <v>85579</v>
      </c>
      <c r="N593" s="223">
        <v>485578</v>
      </c>
      <c r="O593" s="132" t="s">
        <v>244</v>
      </c>
      <c r="P593" s="132" t="s">
        <v>245</v>
      </c>
      <c r="Q593" s="133">
        <v>1248</v>
      </c>
      <c r="R593" s="132" t="s">
        <v>279</v>
      </c>
      <c r="S593" s="132" t="s">
        <v>11</v>
      </c>
      <c r="T593" s="134">
        <v>42548</v>
      </c>
      <c r="U593" s="172">
        <f t="shared" si="37"/>
        <v>2016</v>
      </c>
      <c r="V593" s="172">
        <f t="shared" si="38"/>
        <v>6</v>
      </c>
      <c r="W593" s="44" t="s">
        <v>280</v>
      </c>
      <c r="X593" t="s">
        <v>892</v>
      </c>
      <c r="Y593">
        <v>1</v>
      </c>
      <c r="AA593" s="13">
        <f t="shared" si="36"/>
        <v>85579</v>
      </c>
      <c r="AE593" s="43"/>
      <c r="AL593" s="87" t="s">
        <v>819</v>
      </c>
      <c r="AM593" s="86">
        <v>398274</v>
      </c>
    </row>
    <row r="594" spans="13:39" hidden="1">
      <c r="M594" s="131">
        <v>85600</v>
      </c>
      <c r="N594" s="223">
        <v>478174</v>
      </c>
      <c r="O594" s="132" t="s">
        <v>244</v>
      </c>
      <c r="P594" s="132" t="s">
        <v>245</v>
      </c>
      <c r="Q594" s="133">
        <v>1200</v>
      </c>
      <c r="R594" s="132" t="s">
        <v>279</v>
      </c>
      <c r="S594" s="132" t="s">
        <v>11</v>
      </c>
      <c r="T594" s="134">
        <v>42548</v>
      </c>
      <c r="U594" s="172">
        <f t="shared" si="37"/>
        <v>2016</v>
      </c>
      <c r="V594" s="172">
        <f t="shared" si="38"/>
        <v>6</v>
      </c>
      <c r="W594" s="44" t="s">
        <v>280</v>
      </c>
      <c r="X594" t="s">
        <v>892</v>
      </c>
      <c r="Y594">
        <v>1</v>
      </c>
      <c r="AA594" s="13">
        <f t="shared" si="36"/>
        <v>85600</v>
      </c>
      <c r="AE594" s="43"/>
      <c r="AL594" s="87" t="s">
        <v>819</v>
      </c>
      <c r="AM594" s="86">
        <v>398546</v>
      </c>
    </row>
    <row r="595" spans="13:39" hidden="1">
      <c r="M595" s="131">
        <v>85600</v>
      </c>
      <c r="N595" s="223">
        <v>478174</v>
      </c>
      <c r="O595" s="132" t="s">
        <v>244</v>
      </c>
      <c r="P595" s="132" t="s">
        <v>245</v>
      </c>
      <c r="Q595" s="133">
        <v>1367</v>
      </c>
      <c r="R595" s="132" t="s">
        <v>279</v>
      </c>
      <c r="S595" s="132" t="s">
        <v>11</v>
      </c>
      <c r="T595" s="134">
        <v>42548</v>
      </c>
      <c r="U595" s="172">
        <f t="shared" si="37"/>
        <v>2016</v>
      </c>
      <c r="V595" s="172">
        <f t="shared" si="38"/>
        <v>6</v>
      </c>
      <c r="W595" s="44" t="s">
        <v>280</v>
      </c>
      <c r="X595" t="s">
        <v>892</v>
      </c>
      <c r="Y595">
        <v>1</v>
      </c>
      <c r="AA595" s="13">
        <f t="shared" si="36"/>
        <v>85600</v>
      </c>
      <c r="AE595" s="43"/>
      <c r="AL595" s="87" t="s">
        <v>819</v>
      </c>
      <c r="AM595" s="86">
        <v>398546</v>
      </c>
    </row>
    <row r="596" spans="13:39" hidden="1">
      <c r="M596" s="131">
        <v>85900</v>
      </c>
      <c r="N596" s="223">
        <v>531544</v>
      </c>
      <c r="O596" s="132" t="s">
        <v>244</v>
      </c>
      <c r="P596" s="132" t="s">
        <v>245</v>
      </c>
      <c r="Q596" s="133">
        <v>1124</v>
      </c>
      <c r="R596" s="132" t="s">
        <v>279</v>
      </c>
      <c r="S596" s="132" t="s">
        <v>11</v>
      </c>
      <c r="T596" s="134">
        <v>42548</v>
      </c>
      <c r="U596" s="172">
        <f t="shared" si="37"/>
        <v>2016</v>
      </c>
      <c r="V596" s="172">
        <f t="shared" si="38"/>
        <v>6</v>
      </c>
      <c r="W596" s="44" t="s">
        <v>280</v>
      </c>
      <c r="X596" t="s">
        <v>892</v>
      </c>
      <c r="Y596">
        <v>1</v>
      </c>
      <c r="AA596" s="13">
        <f t="shared" si="36"/>
        <v>85900</v>
      </c>
      <c r="AE596" s="43"/>
      <c r="AL596" s="87" t="s">
        <v>819</v>
      </c>
      <c r="AM596" s="86">
        <v>399872</v>
      </c>
    </row>
    <row r="597" spans="13:39" hidden="1">
      <c r="M597" s="131">
        <v>85900</v>
      </c>
      <c r="N597" s="223">
        <v>539517</v>
      </c>
      <c r="O597" s="132" t="s">
        <v>244</v>
      </c>
      <c r="P597" s="132" t="s">
        <v>245</v>
      </c>
      <c r="Q597" s="133">
        <v>1082</v>
      </c>
      <c r="R597" s="132" t="s">
        <v>279</v>
      </c>
      <c r="S597" s="132" t="s">
        <v>11</v>
      </c>
      <c r="T597" s="134">
        <v>42548</v>
      </c>
      <c r="U597" s="172">
        <f t="shared" si="37"/>
        <v>2016</v>
      </c>
      <c r="V597" s="172">
        <f t="shared" si="38"/>
        <v>6</v>
      </c>
      <c r="W597" s="44" t="s">
        <v>280</v>
      </c>
      <c r="X597" t="s">
        <v>892</v>
      </c>
      <c r="Y597">
        <v>1</v>
      </c>
      <c r="AA597" s="13">
        <f t="shared" si="36"/>
        <v>85900</v>
      </c>
      <c r="AE597" s="43"/>
      <c r="AL597" s="87" t="s">
        <v>819</v>
      </c>
      <c r="AM597" s="86">
        <v>400264</v>
      </c>
    </row>
    <row r="598" spans="13:39" hidden="1">
      <c r="M598" s="131">
        <v>85999</v>
      </c>
      <c r="N598" s="223">
        <v>543504</v>
      </c>
      <c r="O598" s="132" t="s">
        <v>244</v>
      </c>
      <c r="P598" s="132" t="s">
        <v>245</v>
      </c>
      <c r="Q598" s="133">
        <v>1465</v>
      </c>
      <c r="R598" s="132" t="s">
        <v>279</v>
      </c>
      <c r="S598" s="132" t="s">
        <v>11</v>
      </c>
      <c r="T598" s="134">
        <v>42548</v>
      </c>
      <c r="U598" s="172">
        <f t="shared" si="37"/>
        <v>2016</v>
      </c>
      <c r="V598" s="172">
        <f t="shared" si="38"/>
        <v>6</v>
      </c>
      <c r="W598" s="44" t="s">
        <v>280</v>
      </c>
      <c r="X598" t="s">
        <v>892</v>
      </c>
      <c r="Y598">
        <v>1</v>
      </c>
      <c r="AA598" s="13">
        <f t="shared" si="36"/>
        <v>85999</v>
      </c>
      <c r="AE598" s="43"/>
      <c r="AL598" s="87" t="s">
        <v>819</v>
      </c>
      <c r="AM598" s="86">
        <v>400715</v>
      </c>
    </row>
    <row r="599" spans="13:39" hidden="1">
      <c r="M599" s="131">
        <v>86000</v>
      </c>
      <c r="N599" s="223">
        <v>470201</v>
      </c>
      <c r="O599" s="132" t="s">
        <v>244</v>
      </c>
      <c r="P599" s="132" t="s">
        <v>245</v>
      </c>
      <c r="Q599" s="133">
        <v>1162</v>
      </c>
      <c r="R599" s="132" t="s">
        <v>279</v>
      </c>
      <c r="S599" s="132" t="s">
        <v>11</v>
      </c>
      <c r="T599" s="134">
        <v>42548</v>
      </c>
      <c r="U599" s="172">
        <f t="shared" si="37"/>
        <v>2016</v>
      </c>
      <c r="V599" s="172">
        <f t="shared" si="38"/>
        <v>6</v>
      </c>
      <c r="W599" s="44" t="s">
        <v>280</v>
      </c>
      <c r="X599" t="s">
        <v>892</v>
      </c>
      <c r="Y599">
        <v>1</v>
      </c>
      <c r="AA599" s="13">
        <f t="shared" si="36"/>
        <v>86000</v>
      </c>
      <c r="AE599" s="43"/>
      <c r="AL599" s="87" t="s">
        <v>819</v>
      </c>
      <c r="AM599" s="86">
        <v>400715</v>
      </c>
    </row>
    <row r="600" spans="13:39" hidden="1">
      <c r="M600" s="131">
        <v>86000</v>
      </c>
      <c r="N600" s="223">
        <v>493333</v>
      </c>
      <c r="O600" s="132" t="s">
        <v>244</v>
      </c>
      <c r="P600" s="132" t="s">
        <v>245</v>
      </c>
      <c r="Q600" s="133">
        <v>138</v>
      </c>
      <c r="R600" s="132" t="s">
        <v>279</v>
      </c>
      <c r="S600" s="132" t="s">
        <v>11</v>
      </c>
      <c r="T600" s="134">
        <v>42246</v>
      </c>
      <c r="U600" s="172">
        <f t="shared" si="37"/>
        <v>2015</v>
      </c>
      <c r="V600" s="172">
        <f t="shared" si="38"/>
        <v>8</v>
      </c>
      <c r="W600" s="44" t="s">
        <v>291</v>
      </c>
      <c r="X600" t="s">
        <v>892</v>
      </c>
      <c r="Y600">
        <v>1</v>
      </c>
      <c r="AA600" s="13">
        <f t="shared" si="36"/>
        <v>86000</v>
      </c>
      <c r="AE600" s="43"/>
      <c r="AL600" s="87" t="s">
        <v>819</v>
      </c>
      <c r="AM600" s="86">
        <v>401030</v>
      </c>
    </row>
    <row r="601" spans="13:39" hidden="1">
      <c r="M601" s="131">
        <v>86000</v>
      </c>
      <c r="N601" s="223">
        <v>549200</v>
      </c>
      <c r="O601" s="132" t="s">
        <v>244</v>
      </c>
      <c r="P601" s="132" t="s">
        <v>245</v>
      </c>
      <c r="Q601" s="133">
        <v>1608</v>
      </c>
      <c r="R601" s="132" t="s">
        <v>279</v>
      </c>
      <c r="S601" s="132" t="s">
        <v>11</v>
      </c>
      <c r="T601" s="134">
        <v>42548</v>
      </c>
      <c r="U601" s="172">
        <f t="shared" si="37"/>
        <v>2016</v>
      </c>
      <c r="V601" s="172">
        <f t="shared" si="38"/>
        <v>6</v>
      </c>
      <c r="W601" s="44" t="s">
        <v>280</v>
      </c>
      <c r="X601" t="s">
        <v>892</v>
      </c>
      <c r="Y601">
        <v>1</v>
      </c>
      <c r="AA601" s="13">
        <f t="shared" si="36"/>
        <v>86000</v>
      </c>
      <c r="AE601" s="43"/>
      <c r="AL601" s="87" t="s">
        <v>819</v>
      </c>
      <c r="AM601" s="86">
        <v>401203</v>
      </c>
    </row>
    <row r="602" spans="13:39" hidden="1">
      <c r="M602" s="131">
        <v>86126</v>
      </c>
      <c r="N602" s="223">
        <v>542935</v>
      </c>
      <c r="O602" s="132" t="s">
        <v>244</v>
      </c>
      <c r="P602" s="132" t="s">
        <v>245</v>
      </c>
      <c r="Q602" s="133">
        <v>1353</v>
      </c>
      <c r="R602" s="132" t="s">
        <v>279</v>
      </c>
      <c r="S602" s="132" t="s">
        <v>11</v>
      </c>
      <c r="T602" s="134">
        <v>42548</v>
      </c>
      <c r="U602" s="172">
        <f t="shared" si="37"/>
        <v>2016</v>
      </c>
      <c r="V602" s="172">
        <f t="shared" si="38"/>
        <v>6</v>
      </c>
      <c r="W602" s="44" t="s">
        <v>280</v>
      </c>
      <c r="X602" t="s">
        <v>892</v>
      </c>
      <c r="Y602">
        <v>1</v>
      </c>
      <c r="AA602" s="13">
        <f t="shared" si="36"/>
        <v>86126</v>
      </c>
      <c r="AE602" s="43"/>
      <c r="AL602" s="87" t="s">
        <v>819</v>
      </c>
      <c r="AM602" s="86">
        <v>401203</v>
      </c>
    </row>
    <row r="603" spans="13:39" hidden="1">
      <c r="M603" s="131">
        <v>86126</v>
      </c>
      <c r="N603" s="223">
        <v>544643</v>
      </c>
      <c r="O603" s="132" t="s">
        <v>244</v>
      </c>
      <c r="P603" s="132" t="s">
        <v>245</v>
      </c>
      <c r="Q603" s="133">
        <v>1351</v>
      </c>
      <c r="R603" s="132" t="s">
        <v>279</v>
      </c>
      <c r="S603" s="132" t="s">
        <v>11</v>
      </c>
      <c r="T603" s="134">
        <v>42548</v>
      </c>
      <c r="U603" s="172">
        <f t="shared" si="37"/>
        <v>2016</v>
      </c>
      <c r="V603" s="172">
        <f t="shared" si="38"/>
        <v>6</v>
      </c>
      <c r="W603" s="44" t="s">
        <v>280</v>
      </c>
      <c r="X603" t="s">
        <v>892</v>
      </c>
      <c r="Y603">
        <v>1</v>
      </c>
      <c r="AA603" s="13">
        <f t="shared" si="36"/>
        <v>86126</v>
      </c>
      <c r="AE603" s="43"/>
      <c r="AL603" s="87" t="s">
        <v>819</v>
      </c>
      <c r="AM603" s="86">
        <v>401204</v>
      </c>
    </row>
    <row r="604" spans="13:39" hidden="1">
      <c r="M604" s="131">
        <v>86129</v>
      </c>
      <c r="N604" s="223">
        <v>514458</v>
      </c>
      <c r="O604" s="132" t="s">
        <v>244</v>
      </c>
      <c r="P604" s="132" t="s">
        <v>245</v>
      </c>
      <c r="Q604" s="133">
        <v>1275</v>
      </c>
      <c r="R604" s="132" t="s">
        <v>279</v>
      </c>
      <c r="S604" s="132" t="s">
        <v>11</v>
      </c>
      <c r="T604" s="134">
        <v>42548</v>
      </c>
      <c r="U604" s="172">
        <f t="shared" si="37"/>
        <v>2016</v>
      </c>
      <c r="V604" s="172">
        <f t="shared" si="38"/>
        <v>6</v>
      </c>
      <c r="W604" s="44" t="s">
        <v>280</v>
      </c>
      <c r="X604" t="s">
        <v>892</v>
      </c>
      <c r="Y604">
        <v>1</v>
      </c>
      <c r="AA604" s="13">
        <f t="shared" si="36"/>
        <v>86129</v>
      </c>
      <c r="AE604" s="43"/>
      <c r="AL604" s="87" t="s">
        <v>819</v>
      </c>
      <c r="AM604" s="86">
        <v>401204</v>
      </c>
    </row>
    <row r="605" spans="13:39" hidden="1">
      <c r="M605" s="131">
        <v>86470</v>
      </c>
      <c r="N605" s="223">
        <v>573120</v>
      </c>
      <c r="O605" s="132" t="s">
        <v>244</v>
      </c>
      <c r="P605" s="132" t="s">
        <v>245</v>
      </c>
      <c r="Q605" s="133">
        <v>1481</v>
      </c>
      <c r="R605" s="132" t="s">
        <v>279</v>
      </c>
      <c r="S605" s="132" t="s">
        <v>11</v>
      </c>
      <c r="T605" s="134">
        <v>42548</v>
      </c>
      <c r="U605" s="172">
        <f t="shared" si="37"/>
        <v>2016</v>
      </c>
      <c r="V605" s="172">
        <f t="shared" si="38"/>
        <v>6</v>
      </c>
      <c r="W605" s="44" t="s">
        <v>280</v>
      </c>
      <c r="X605" t="s">
        <v>892</v>
      </c>
      <c r="Y605">
        <v>1</v>
      </c>
      <c r="AA605" s="13">
        <f t="shared" si="36"/>
        <v>86470</v>
      </c>
      <c r="AE605" s="43"/>
      <c r="AL605" s="87" t="s">
        <v>819</v>
      </c>
      <c r="AM605" s="86">
        <v>401204</v>
      </c>
    </row>
    <row r="606" spans="13:39" hidden="1">
      <c r="M606" s="131">
        <v>86500</v>
      </c>
      <c r="N606" s="223">
        <v>470201</v>
      </c>
      <c r="O606" s="132" t="s">
        <v>244</v>
      </c>
      <c r="P606" s="132" t="s">
        <v>245</v>
      </c>
      <c r="Q606" s="133">
        <v>1169</v>
      </c>
      <c r="R606" s="132" t="s">
        <v>279</v>
      </c>
      <c r="S606" s="132" t="s">
        <v>11</v>
      </c>
      <c r="T606" s="134">
        <v>42548</v>
      </c>
      <c r="U606" s="172">
        <f t="shared" si="37"/>
        <v>2016</v>
      </c>
      <c r="V606" s="172">
        <f t="shared" si="38"/>
        <v>6</v>
      </c>
      <c r="W606" s="44" t="s">
        <v>280</v>
      </c>
      <c r="X606" t="s">
        <v>892</v>
      </c>
      <c r="Y606">
        <v>1</v>
      </c>
      <c r="AA606" s="13">
        <f t="shared" si="36"/>
        <v>86500</v>
      </c>
      <c r="AE606" s="43"/>
      <c r="AL606" s="87" t="s">
        <v>819</v>
      </c>
      <c r="AM606" s="86">
        <v>401204</v>
      </c>
    </row>
    <row r="607" spans="13:39" hidden="1">
      <c r="M607" s="131">
        <v>86500</v>
      </c>
      <c r="N607" s="223">
        <v>470201</v>
      </c>
      <c r="O607" s="132" t="s">
        <v>244</v>
      </c>
      <c r="P607" s="132" t="s">
        <v>245</v>
      </c>
      <c r="Q607" s="133">
        <v>1170</v>
      </c>
      <c r="R607" s="132" t="s">
        <v>279</v>
      </c>
      <c r="S607" s="132" t="s">
        <v>11</v>
      </c>
      <c r="T607" s="134">
        <v>42548</v>
      </c>
      <c r="U607" s="172">
        <f t="shared" si="37"/>
        <v>2016</v>
      </c>
      <c r="V607" s="172">
        <f t="shared" si="38"/>
        <v>6</v>
      </c>
      <c r="W607" s="44" t="s">
        <v>280</v>
      </c>
      <c r="X607" t="s">
        <v>892</v>
      </c>
      <c r="Y607">
        <v>1</v>
      </c>
      <c r="AA607" s="13">
        <f t="shared" si="36"/>
        <v>86500</v>
      </c>
      <c r="AE607" s="43"/>
      <c r="AL607" s="87" t="s">
        <v>819</v>
      </c>
      <c r="AM607" s="86">
        <v>401204</v>
      </c>
    </row>
    <row r="608" spans="13:39" hidden="1">
      <c r="M608" s="131">
        <v>87245</v>
      </c>
      <c r="N608" s="223">
        <v>525051</v>
      </c>
      <c r="O608" s="132" t="s">
        <v>244</v>
      </c>
      <c r="P608" s="132" t="s">
        <v>245</v>
      </c>
      <c r="Q608" s="133">
        <v>113</v>
      </c>
      <c r="R608" s="132" t="s">
        <v>279</v>
      </c>
      <c r="S608" s="132" t="s">
        <v>11</v>
      </c>
      <c r="T608" s="134">
        <v>42246</v>
      </c>
      <c r="U608" s="172">
        <f t="shared" si="37"/>
        <v>2015</v>
      </c>
      <c r="V608" s="172">
        <f t="shared" si="38"/>
        <v>8</v>
      </c>
      <c r="W608" s="44" t="s">
        <v>291</v>
      </c>
      <c r="X608" t="s">
        <v>892</v>
      </c>
      <c r="Y608">
        <v>1</v>
      </c>
      <c r="AA608" s="13">
        <f t="shared" si="36"/>
        <v>87245</v>
      </c>
      <c r="AE608" s="43"/>
      <c r="AL608" s="87" t="s">
        <v>819</v>
      </c>
      <c r="AM608" s="86">
        <v>401204</v>
      </c>
    </row>
    <row r="609" spans="13:39" hidden="1">
      <c r="M609" s="131">
        <v>87258</v>
      </c>
      <c r="N609" s="223">
        <v>550908</v>
      </c>
      <c r="O609" s="132" t="s">
        <v>244</v>
      </c>
      <c r="P609" s="132" t="s">
        <v>245</v>
      </c>
      <c r="Q609" s="133">
        <v>1103</v>
      </c>
      <c r="R609" s="132" t="s">
        <v>279</v>
      </c>
      <c r="S609" s="132" t="s">
        <v>11</v>
      </c>
      <c r="T609" s="134">
        <v>42548</v>
      </c>
      <c r="U609" s="172">
        <f t="shared" si="37"/>
        <v>2016</v>
      </c>
      <c r="V609" s="172">
        <f t="shared" si="38"/>
        <v>6</v>
      </c>
      <c r="W609" s="44" t="s">
        <v>280</v>
      </c>
      <c r="X609" t="s">
        <v>892</v>
      </c>
      <c r="Y609">
        <v>1</v>
      </c>
      <c r="AA609" s="13">
        <f t="shared" si="36"/>
        <v>87258</v>
      </c>
      <c r="AE609" s="43"/>
      <c r="AL609" s="87" t="s">
        <v>819</v>
      </c>
      <c r="AM609" s="86">
        <v>401204</v>
      </c>
    </row>
    <row r="610" spans="13:39" hidden="1">
      <c r="M610" s="131">
        <v>87600</v>
      </c>
      <c r="N610" s="223">
        <v>480447</v>
      </c>
      <c r="O610" s="132" t="s">
        <v>244</v>
      </c>
      <c r="P610" s="132" t="s">
        <v>245</v>
      </c>
      <c r="Q610" s="133">
        <v>150</v>
      </c>
      <c r="R610" s="132" t="s">
        <v>279</v>
      </c>
      <c r="S610" s="132" t="s">
        <v>11</v>
      </c>
      <c r="T610" s="134">
        <v>42246</v>
      </c>
      <c r="U610" s="172">
        <f t="shared" si="37"/>
        <v>2015</v>
      </c>
      <c r="V610" s="172">
        <f t="shared" si="38"/>
        <v>8</v>
      </c>
      <c r="W610" s="44" t="s">
        <v>291</v>
      </c>
      <c r="X610" t="s">
        <v>892</v>
      </c>
      <c r="Y610">
        <v>1</v>
      </c>
      <c r="AA610" s="13">
        <f t="shared" si="36"/>
        <v>87600</v>
      </c>
      <c r="AE610" s="43"/>
      <c r="AL610" s="87" t="s">
        <v>819</v>
      </c>
      <c r="AM610" s="86">
        <v>401204</v>
      </c>
    </row>
    <row r="611" spans="13:39" hidden="1">
      <c r="M611" s="131">
        <v>87600</v>
      </c>
      <c r="N611" s="223">
        <v>526358</v>
      </c>
      <c r="O611" s="132" t="s">
        <v>244</v>
      </c>
      <c r="P611" s="132" t="s">
        <v>245</v>
      </c>
      <c r="Q611" s="133">
        <v>668</v>
      </c>
      <c r="R611" s="132" t="s">
        <v>279</v>
      </c>
      <c r="S611" s="132" t="s">
        <v>11</v>
      </c>
      <c r="T611" s="134">
        <v>42246</v>
      </c>
      <c r="U611" s="172">
        <f t="shared" si="37"/>
        <v>2015</v>
      </c>
      <c r="V611" s="172">
        <f t="shared" si="38"/>
        <v>8</v>
      </c>
      <c r="W611" s="44" t="s">
        <v>291</v>
      </c>
      <c r="X611" t="s">
        <v>892</v>
      </c>
      <c r="Y611">
        <v>1</v>
      </c>
      <c r="AA611" s="13">
        <f t="shared" si="36"/>
        <v>87600</v>
      </c>
      <c r="AE611" s="43"/>
      <c r="AL611" s="87" t="s">
        <v>819</v>
      </c>
      <c r="AM611" s="86">
        <v>401204</v>
      </c>
    </row>
    <row r="612" spans="13:39" hidden="1">
      <c r="M612" s="131">
        <v>87700</v>
      </c>
      <c r="N612" s="223">
        <v>493333</v>
      </c>
      <c r="O612" s="132" t="s">
        <v>244</v>
      </c>
      <c r="P612" s="132" t="s">
        <v>245</v>
      </c>
      <c r="Q612" s="133">
        <v>333</v>
      </c>
      <c r="R612" s="132" t="s">
        <v>279</v>
      </c>
      <c r="S612" s="132" t="s">
        <v>11</v>
      </c>
      <c r="T612" s="134">
        <v>42246</v>
      </c>
      <c r="U612" s="172">
        <f t="shared" si="37"/>
        <v>2015</v>
      </c>
      <c r="V612" s="172">
        <f t="shared" si="38"/>
        <v>8</v>
      </c>
      <c r="W612" s="44" t="s">
        <v>291</v>
      </c>
      <c r="X612" t="s">
        <v>892</v>
      </c>
      <c r="Y612">
        <v>1</v>
      </c>
      <c r="AA612" s="13">
        <f t="shared" si="36"/>
        <v>87700</v>
      </c>
      <c r="AE612" s="43"/>
      <c r="AL612" s="87" t="s">
        <v>819</v>
      </c>
      <c r="AM612" s="86">
        <v>401204</v>
      </c>
    </row>
    <row r="613" spans="13:39" hidden="1">
      <c r="M613" s="131">
        <v>88000</v>
      </c>
      <c r="N613" s="223">
        <v>562299</v>
      </c>
      <c r="O613" s="132" t="s">
        <v>244</v>
      </c>
      <c r="P613" s="132" t="s">
        <v>245</v>
      </c>
      <c r="Q613" s="133">
        <v>92</v>
      </c>
      <c r="R613" s="132" t="s">
        <v>279</v>
      </c>
      <c r="S613" s="132" t="s">
        <v>11</v>
      </c>
      <c r="T613" s="134">
        <v>42548</v>
      </c>
      <c r="U613" s="172">
        <f t="shared" si="37"/>
        <v>2016</v>
      </c>
      <c r="V613" s="172">
        <f t="shared" si="38"/>
        <v>6</v>
      </c>
      <c r="W613" s="44" t="s">
        <v>280</v>
      </c>
      <c r="X613" t="s">
        <v>892</v>
      </c>
      <c r="Y613">
        <v>1</v>
      </c>
      <c r="AA613" s="13">
        <f t="shared" si="36"/>
        <v>88000</v>
      </c>
      <c r="AE613" s="43"/>
      <c r="AL613" s="87" t="s">
        <v>819</v>
      </c>
      <c r="AM613" s="86">
        <v>401909</v>
      </c>
    </row>
    <row r="614" spans="13:39" hidden="1">
      <c r="M614" s="131">
        <v>88600</v>
      </c>
      <c r="N614" s="223">
        <v>489368</v>
      </c>
      <c r="O614" s="132" t="s">
        <v>244</v>
      </c>
      <c r="P614" s="132" t="s">
        <v>245</v>
      </c>
      <c r="Q614" s="133">
        <v>459</v>
      </c>
      <c r="R614" s="132" t="s">
        <v>279</v>
      </c>
      <c r="S614" s="132" t="s">
        <v>11</v>
      </c>
      <c r="T614" s="134">
        <v>42246</v>
      </c>
      <c r="U614" s="172">
        <f t="shared" si="37"/>
        <v>2015</v>
      </c>
      <c r="V614" s="172">
        <f t="shared" si="38"/>
        <v>8</v>
      </c>
      <c r="W614" s="44" t="s">
        <v>291</v>
      </c>
      <c r="X614" t="s">
        <v>892</v>
      </c>
      <c r="Y614">
        <v>1</v>
      </c>
      <c r="AA614" s="13">
        <f t="shared" si="36"/>
        <v>88600</v>
      </c>
      <c r="AE614" s="43"/>
      <c r="AL614" s="87" t="s">
        <v>819</v>
      </c>
      <c r="AM614" s="86">
        <v>401909</v>
      </c>
    </row>
    <row r="615" spans="13:39" hidden="1">
      <c r="M615" s="131">
        <v>88700</v>
      </c>
      <c r="N615" s="223">
        <v>483421</v>
      </c>
      <c r="O615" s="132" t="s">
        <v>244</v>
      </c>
      <c r="P615" s="132" t="s">
        <v>245</v>
      </c>
      <c r="Q615" s="133">
        <v>249</v>
      </c>
      <c r="R615" s="132" t="s">
        <v>279</v>
      </c>
      <c r="S615" s="132" t="s">
        <v>11</v>
      </c>
      <c r="T615" s="134">
        <v>42246</v>
      </c>
      <c r="U615" s="172">
        <f t="shared" si="37"/>
        <v>2015</v>
      </c>
      <c r="V615" s="172">
        <f t="shared" si="38"/>
        <v>8</v>
      </c>
      <c r="W615" s="44" t="s">
        <v>291</v>
      </c>
      <c r="X615" t="s">
        <v>892</v>
      </c>
      <c r="Y615">
        <v>1</v>
      </c>
      <c r="AA615" s="13">
        <f t="shared" si="36"/>
        <v>88700</v>
      </c>
      <c r="AE615" s="43"/>
      <c r="AL615" s="87" t="s">
        <v>819</v>
      </c>
      <c r="AM615" s="86">
        <v>402349</v>
      </c>
    </row>
    <row r="616" spans="13:39" hidden="1">
      <c r="M616" s="131">
        <v>88864</v>
      </c>
      <c r="N616" s="223">
        <v>542935</v>
      </c>
      <c r="O616" s="132" t="s">
        <v>244</v>
      </c>
      <c r="P616" s="132" t="s">
        <v>245</v>
      </c>
      <c r="Q616" s="133">
        <v>1418</v>
      </c>
      <c r="R616" s="132" t="s">
        <v>279</v>
      </c>
      <c r="S616" s="132" t="s">
        <v>11</v>
      </c>
      <c r="T616" s="134">
        <v>42548</v>
      </c>
      <c r="U616" s="172">
        <f t="shared" si="37"/>
        <v>2016</v>
      </c>
      <c r="V616" s="172">
        <f t="shared" si="38"/>
        <v>6</v>
      </c>
      <c r="W616" s="44" t="s">
        <v>280</v>
      </c>
      <c r="X616" t="s">
        <v>892</v>
      </c>
      <c r="Y616">
        <v>1</v>
      </c>
      <c r="AA616" s="13">
        <f t="shared" si="36"/>
        <v>88864</v>
      </c>
      <c r="AE616" s="43"/>
      <c r="AL616" s="87" t="s">
        <v>819</v>
      </c>
      <c r="AM616" s="86">
        <v>402788</v>
      </c>
    </row>
    <row r="617" spans="13:39" hidden="1">
      <c r="M617" s="131">
        <v>88888</v>
      </c>
      <c r="N617" s="223">
        <v>554324</v>
      </c>
      <c r="O617" s="132" t="s">
        <v>244</v>
      </c>
      <c r="P617" s="132" t="s">
        <v>245</v>
      </c>
      <c r="Q617" s="133">
        <v>263</v>
      </c>
      <c r="R617" s="132" t="s">
        <v>279</v>
      </c>
      <c r="S617" s="132" t="s">
        <v>11</v>
      </c>
      <c r="T617" s="134">
        <v>42548</v>
      </c>
      <c r="U617" s="172">
        <f t="shared" si="37"/>
        <v>2016</v>
      </c>
      <c r="V617" s="172">
        <f t="shared" si="38"/>
        <v>6</v>
      </c>
      <c r="W617" s="44" t="s">
        <v>280</v>
      </c>
      <c r="X617" t="s">
        <v>892</v>
      </c>
      <c r="Y617">
        <v>1</v>
      </c>
      <c r="AA617" s="13">
        <f t="shared" si="36"/>
        <v>88888</v>
      </c>
      <c r="AE617" s="43"/>
      <c r="AL617" s="87" t="s">
        <v>819</v>
      </c>
      <c r="AM617" s="86">
        <v>402788</v>
      </c>
    </row>
    <row r="618" spans="13:39" hidden="1">
      <c r="M618" s="131">
        <v>88888</v>
      </c>
      <c r="N618" s="223">
        <v>616973</v>
      </c>
      <c r="O618" s="132" t="s">
        <v>244</v>
      </c>
      <c r="P618" s="132" t="s">
        <v>245</v>
      </c>
      <c r="Q618" s="133">
        <v>1355</v>
      </c>
      <c r="R618" s="132" t="s">
        <v>279</v>
      </c>
      <c r="S618" s="132" t="s">
        <v>11</v>
      </c>
      <c r="T618" s="134">
        <v>42548</v>
      </c>
      <c r="U618" s="172">
        <f t="shared" si="37"/>
        <v>2016</v>
      </c>
      <c r="V618" s="172">
        <f t="shared" si="38"/>
        <v>6</v>
      </c>
      <c r="W618" s="44" t="s">
        <v>280</v>
      </c>
      <c r="X618" t="s">
        <v>892</v>
      </c>
      <c r="Y618">
        <v>1</v>
      </c>
      <c r="AA618" s="13">
        <f t="shared" si="36"/>
        <v>88888</v>
      </c>
      <c r="AE618" s="43"/>
      <c r="AL618" s="87" t="s">
        <v>819</v>
      </c>
      <c r="AM618" s="86">
        <v>403157</v>
      </c>
    </row>
    <row r="619" spans="13:39" hidden="1">
      <c r="M619" s="131">
        <v>88900</v>
      </c>
      <c r="N619" s="223">
        <v>486717</v>
      </c>
      <c r="O619" s="132" t="s">
        <v>244</v>
      </c>
      <c r="P619" s="132" t="s">
        <v>245</v>
      </c>
      <c r="Q619" s="133">
        <v>1245</v>
      </c>
      <c r="R619" s="132" t="s">
        <v>279</v>
      </c>
      <c r="S619" s="132" t="s">
        <v>11</v>
      </c>
      <c r="T619" s="134">
        <v>42548</v>
      </c>
      <c r="U619" s="172">
        <f t="shared" si="37"/>
        <v>2016</v>
      </c>
      <c r="V619" s="172">
        <f t="shared" si="38"/>
        <v>6</v>
      </c>
      <c r="W619" s="44" t="s">
        <v>280</v>
      </c>
      <c r="X619" t="s">
        <v>892</v>
      </c>
      <c r="Y619">
        <v>1</v>
      </c>
      <c r="AA619" s="13">
        <f t="shared" si="36"/>
        <v>88900</v>
      </c>
      <c r="AE619" s="43"/>
      <c r="AL619" s="87" t="s">
        <v>819</v>
      </c>
      <c r="AM619" s="86">
        <v>403186</v>
      </c>
    </row>
    <row r="620" spans="13:39" hidden="1">
      <c r="M620" s="131">
        <v>88990</v>
      </c>
      <c r="N620" s="223">
        <v>490854</v>
      </c>
      <c r="O620" s="132" t="s">
        <v>244</v>
      </c>
      <c r="P620" s="132" t="s">
        <v>245</v>
      </c>
      <c r="Q620" s="133">
        <v>81</v>
      </c>
      <c r="R620" s="132" t="s">
        <v>279</v>
      </c>
      <c r="S620" s="132" t="s">
        <v>11</v>
      </c>
      <c r="T620" s="134">
        <v>42246</v>
      </c>
      <c r="U620" s="172">
        <f t="shared" si="37"/>
        <v>2015</v>
      </c>
      <c r="V620" s="172">
        <f t="shared" si="38"/>
        <v>8</v>
      </c>
      <c r="W620" s="44" t="s">
        <v>291</v>
      </c>
      <c r="X620" t="s">
        <v>892</v>
      </c>
      <c r="Y620">
        <v>1</v>
      </c>
      <c r="AA620" s="13">
        <f t="shared" si="36"/>
        <v>88990</v>
      </c>
      <c r="AE620" s="43"/>
      <c r="AL620" s="87" t="s">
        <v>819</v>
      </c>
      <c r="AM620" s="86">
        <v>403228</v>
      </c>
    </row>
    <row r="621" spans="13:39" hidden="1">
      <c r="M621" s="131">
        <v>89000</v>
      </c>
      <c r="N621" s="223">
        <v>541796</v>
      </c>
      <c r="O621" s="132" t="s">
        <v>244</v>
      </c>
      <c r="P621" s="132" t="s">
        <v>245</v>
      </c>
      <c r="Q621" s="133">
        <v>1076</v>
      </c>
      <c r="R621" s="132" t="s">
        <v>279</v>
      </c>
      <c r="S621" s="132" t="s">
        <v>11</v>
      </c>
      <c r="T621" s="134">
        <v>42548</v>
      </c>
      <c r="U621" s="172">
        <f t="shared" si="37"/>
        <v>2016</v>
      </c>
      <c r="V621" s="172">
        <f t="shared" si="38"/>
        <v>6</v>
      </c>
      <c r="W621" s="44" t="s">
        <v>280</v>
      </c>
      <c r="X621" t="s">
        <v>892</v>
      </c>
      <c r="Y621">
        <v>1</v>
      </c>
      <c r="AA621" s="13">
        <f t="shared" si="36"/>
        <v>89000</v>
      </c>
      <c r="AE621" s="43"/>
      <c r="AL621" s="87" t="s">
        <v>819</v>
      </c>
      <c r="AM621" s="86">
        <v>403228</v>
      </c>
    </row>
    <row r="622" spans="13:39" hidden="1">
      <c r="M622" s="131">
        <v>89000</v>
      </c>
      <c r="N622" s="223">
        <v>544643</v>
      </c>
      <c r="O622" s="132" t="s">
        <v>244</v>
      </c>
      <c r="P622" s="132" t="s">
        <v>245</v>
      </c>
      <c r="Q622" s="133">
        <v>1214</v>
      </c>
      <c r="R622" s="132" t="s">
        <v>279</v>
      </c>
      <c r="S622" s="132" t="s">
        <v>11</v>
      </c>
      <c r="T622" s="134">
        <v>42548</v>
      </c>
      <c r="U622" s="172">
        <f t="shared" si="37"/>
        <v>2016</v>
      </c>
      <c r="V622" s="172">
        <f t="shared" si="38"/>
        <v>6</v>
      </c>
      <c r="W622" s="44" t="s">
        <v>280</v>
      </c>
      <c r="X622" t="s">
        <v>892</v>
      </c>
      <c r="Y622">
        <v>1</v>
      </c>
      <c r="AA622" s="13">
        <f t="shared" si="36"/>
        <v>89000</v>
      </c>
      <c r="AE622" s="43"/>
      <c r="AL622" s="87" t="s">
        <v>819</v>
      </c>
      <c r="AM622" s="86">
        <v>403668</v>
      </c>
    </row>
    <row r="623" spans="13:39" hidden="1">
      <c r="M623" s="131">
        <v>89385</v>
      </c>
      <c r="N623" s="223">
        <v>546921</v>
      </c>
      <c r="O623" s="132" t="s">
        <v>244</v>
      </c>
      <c r="P623" s="132" t="s">
        <v>245</v>
      </c>
      <c r="Q623" s="133">
        <v>1185</v>
      </c>
      <c r="R623" s="132" t="s">
        <v>279</v>
      </c>
      <c r="S623" s="132" t="s">
        <v>11</v>
      </c>
      <c r="T623" s="134">
        <v>42548</v>
      </c>
      <c r="U623" s="172">
        <f t="shared" si="37"/>
        <v>2016</v>
      </c>
      <c r="V623" s="172">
        <f t="shared" si="38"/>
        <v>6</v>
      </c>
      <c r="W623" s="44" t="s">
        <v>280</v>
      </c>
      <c r="X623" t="s">
        <v>892</v>
      </c>
      <c r="Y623">
        <v>1</v>
      </c>
      <c r="AA623" s="13">
        <f t="shared" si="36"/>
        <v>89385</v>
      </c>
      <c r="AE623" s="43"/>
      <c r="AL623" s="87" t="s">
        <v>819</v>
      </c>
      <c r="AM623" s="86">
        <v>403668</v>
      </c>
    </row>
    <row r="624" spans="13:39" hidden="1">
      <c r="M624" s="131">
        <v>89500</v>
      </c>
      <c r="N624" s="223">
        <v>562299</v>
      </c>
      <c r="O624" s="132" t="s">
        <v>244</v>
      </c>
      <c r="P624" s="132" t="s">
        <v>245</v>
      </c>
      <c r="Q624" s="133">
        <v>1092</v>
      </c>
      <c r="R624" s="132" t="s">
        <v>279</v>
      </c>
      <c r="S624" s="132" t="s">
        <v>11</v>
      </c>
      <c r="T624" s="134">
        <v>42548</v>
      </c>
      <c r="U624" s="172">
        <f t="shared" si="37"/>
        <v>2016</v>
      </c>
      <c r="V624" s="172">
        <f t="shared" si="38"/>
        <v>6</v>
      </c>
      <c r="W624" s="44" t="s">
        <v>280</v>
      </c>
      <c r="X624" t="s">
        <v>892</v>
      </c>
      <c r="Y624">
        <v>1</v>
      </c>
      <c r="AA624" s="13">
        <f t="shared" si="36"/>
        <v>89500</v>
      </c>
      <c r="AE624" s="43"/>
      <c r="AL624" s="87" t="s">
        <v>819</v>
      </c>
      <c r="AM624" s="86">
        <v>4040258</v>
      </c>
    </row>
    <row r="625" spans="13:39" hidden="1">
      <c r="M625" s="131">
        <v>89555</v>
      </c>
      <c r="N625" s="223">
        <v>492342</v>
      </c>
      <c r="O625" s="132" t="s">
        <v>244</v>
      </c>
      <c r="P625" s="132" t="s">
        <v>245</v>
      </c>
      <c r="Q625" s="133">
        <v>492</v>
      </c>
      <c r="R625" s="132" t="s">
        <v>279</v>
      </c>
      <c r="S625" s="132" t="s">
        <v>11</v>
      </c>
      <c r="T625" s="134">
        <v>42246</v>
      </c>
      <c r="U625" s="172">
        <f t="shared" si="37"/>
        <v>2015</v>
      </c>
      <c r="V625" s="172">
        <f t="shared" si="38"/>
        <v>8</v>
      </c>
      <c r="W625" s="44" t="s">
        <v>291</v>
      </c>
      <c r="X625" t="s">
        <v>892</v>
      </c>
      <c r="Y625">
        <v>1</v>
      </c>
      <c r="AA625" s="13">
        <f t="shared" si="36"/>
        <v>89555</v>
      </c>
      <c r="AE625" s="43"/>
      <c r="AL625" s="87" t="s">
        <v>819</v>
      </c>
      <c r="AM625" s="86">
        <v>40426500</v>
      </c>
    </row>
    <row r="626" spans="13:39" hidden="1">
      <c r="M626" s="131">
        <v>89900</v>
      </c>
      <c r="N626" s="223">
        <v>571981</v>
      </c>
      <c r="O626" s="132" t="s">
        <v>244</v>
      </c>
      <c r="P626" s="132" t="s">
        <v>245</v>
      </c>
      <c r="Q626" s="133">
        <v>1503</v>
      </c>
      <c r="R626" s="132" t="s">
        <v>279</v>
      </c>
      <c r="S626" s="132" t="s">
        <v>11</v>
      </c>
      <c r="T626" s="134">
        <v>42548</v>
      </c>
      <c r="U626" s="172">
        <f t="shared" si="37"/>
        <v>2016</v>
      </c>
      <c r="V626" s="172">
        <f t="shared" si="38"/>
        <v>6</v>
      </c>
      <c r="W626" s="44" t="s">
        <v>280</v>
      </c>
      <c r="X626" t="s">
        <v>892</v>
      </c>
      <c r="Y626">
        <v>1</v>
      </c>
      <c r="AA626" s="13">
        <f t="shared" si="36"/>
        <v>89900</v>
      </c>
      <c r="AE626" s="43"/>
      <c r="AL626" s="87" t="s">
        <v>819</v>
      </c>
      <c r="AM626" s="86">
        <v>404378</v>
      </c>
    </row>
    <row r="627" spans="13:39" hidden="1">
      <c r="M627" s="131">
        <v>89999</v>
      </c>
      <c r="N627" s="223">
        <v>489864</v>
      </c>
      <c r="O627" s="132" t="s">
        <v>244</v>
      </c>
      <c r="P627" s="132" t="s">
        <v>245</v>
      </c>
      <c r="Q627" s="133">
        <v>279</v>
      </c>
      <c r="R627" s="132" t="s">
        <v>279</v>
      </c>
      <c r="S627" s="132" t="s">
        <v>11</v>
      </c>
      <c r="T627" s="134">
        <v>42246</v>
      </c>
      <c r="U627" s="172">
        <f t="shared" si="37"/>
        <v>2015</v>
      </c>
      <c r="V627" s="172">
        <f t="shared" si="38"/>
        <v>8</v>
      </c>
      <c r="W627" s="44" t="s">
        <v>291</v>
      </c>
      <c r="X627" t="s">
        <v>892</v>
      </c>
      <c r="Y627">
        <v>1</v>
      </c>
      <c r="AA627" s="13">
        <f t="shared" si="36"/>
        <v>89999</v>
      </c>
      <c r="AE627" s="43"/>
      <c r="AL627" s="87" t="s">
        <v>819</v>
      </c>
      <c r="AM627" s="86">
        <v>4047670</v>
      </c>
    </row>
    <row r="628" spans="13:39" hidden="1">
      <c r="M628" s="131">
        <v>90000</v>
      </c>
      <c r="N628" s="223">
        <v>484908</v>
      </c>
      <c r="O628" s="132" t="s">
        <v>244</v>
      </c>
      <c r="P628" s="132" t="s">
        <v>245</v>
      </c>
      <c r="Q628" s="133">
        <v>36</v>
      </c>
      <c r="R628" s="132" t="s">
        <v>279</v>
      </c>
      <c r="S628" s="132" t="s">
        <v>11</v>
      </c>
      <c r="T628" s="134">
        <v>42246</v>
      </c>
      <c r="U628" s="172">
        <f t="shared" si="37"/>
        <v>2015</v>
      </c>
      <c r="V628" s="172">
        <f t="shared" si="38"/>
        <v>8</v>
      </c>
      <c r="W628" s="44" t="s">
        <v>291</v>
      </c>
      <c r="X628" t="s">
        <v>892</v>
      </c>
      <c r="Y628">
        <v>1</v>
      </c>
      <c r="AA628" s="13">
        <f t="shared" si="36"/>
        <v>90000</v>
      </c>
      <c r="AE628" s="43"/>
      <c r="AL628" s="87" t="s">
        <v>819</v>
      </c>
      <c r="AM628" s="86">
        <v>405427</v>
      </c>
    </row>
    <row r="629" spans="13:39" hidden="1">
      <c r="M629" s="131">
        <v>90000</v>
      </c>
      <c r="N629" s="223">
        <v>491350</v>
      </c>
      <c r="O629" s="132" t="s">
        <v>244</v>
      </c>
      <c r="P629" s="132" t="s">
        <v>245</v>
      </c>
      <c r="Q629" s="133">
        <v>291</v>
      </c>
      <c r="R629" s="132" t="s">
        <v>279</v>
      </c>
      <c r="S629" s="132" t="s">
        <v>11</v>
      </c>
      <c r="T629" s="134">
        <v>42246</v>
      </c>
      <c r="U629" s="172">
        <f t="shared" si="37"/>
        <v>2015</v>
      </c>
      <c r="V629" s="172">
        <f t="shared" si="38"/>
        <v>8</v>
      </c>
      <c r="W629" s="44" t="s">
        <v>291</v>
      </c>
      <c r="X629" t="s">
        <v>892</v>
      </c>
      <c r="Y629">
        <v>1</v>
      </c>
      <c r="AA629" s="13">
        <f t="shared" si="36"/>
        <v>90000</v>
      </c>
      <c r="AE629" s="43"/>
      <c r="AL629" s="87" t="s">
        <v>819</v>
      </c>
      <c r="AM629" s="86">
        <v>406162</v>
      </c>
    </row>
    <row r="630" spans="13:39" hidden="1">
      <c r="M630" s="131">
        <v>90000</v>
      </c>
      <c r="N630" s="223">
        <v>542396</v>
      </c>
      <c r="O630" s="132" t="s">
        <v>244</v>
      </c>
      <c r="P630" s="132" t="s">
        <v>245</v>
      </c>
      <c r="Q630" s="133">
        <v>206</v>
      </c>
      <c r="R630" s="132" t="s">
        <v>279</v>
      </c>
      <c r="S630" s="132" t="s">
        <v>11</v>
      </c>
      <c r="T630" s="134">
        <v>42246</v>
      </c>
      <c r="U630" s="172">
        <f t="shared" si="37"/>
        <v>2015</v>
      </c>
      <c r="V630" s="172">
        <f t="shared" si="38"/>
        <v>8</v>
      </c>
      <c r="W630" s="44" t="s">
        <v>291</v>
      </c>
      <c r="X630" t="s">
        <v>892</v>
      </c>
      <c r="Y630">
        <v>1</v>
      </c>
      <c r="AA630" s="13">
        <f t="shared" si="36"/>
        <v>90000</v>
      </c>
      <c r="AE630" s="43"/>
      <c r="AL630" s="87" t="s">
        <v>819</v>
      </c>
      <c r="AM630" s="86">
        <v>406819</v>
      </c>
    </row>
    <row r="631" spans="13:39" hidden="1">
      <c r="M631" s="131">
        <v>90009</v>
      </c>
      <c r="N631" s="223">
        <v>536450</v>
      </c>
      <c r="O631" s="132" t="s">
        <v>244</v>
      </c>
      <c r="P631" s="132" t="s">
        <v>245</v>
      </c>
      <c r="Q631" s="133">
        <v>332</v>
      </c>
      <c r="R631" s="132" t="s">
        <v>279</v>
      </c>
      <c r="S631" s="132" t="s">
        <v>11</v>
      </c>
      <c r="T631" s="134">
        <v>42246</v>
      </c>
      <c r="U631" s="172">
        <f t="shared" si="37"/>
        <v>2015</v>
      </c>
      <c r="V631" s="172">
        <f t="shared" si="38"/>
        <v>8</v>
      </c>
      <c r="W631" s="44" t="s">
        <v>291</v>
      </c>
      <c r="X631" t="s">
        <v>892</v>
      </c>
      <c r="Y631">
        <v>1</v>
      </c>
      <c r="AA631" s="13">
        <f t="shared" si="36"/>
        <v>90009</v>
      </c>
      <c r="AE631" s="43"/>
      <c r="AL631" s="87" t="s">
        <v>819</v>
      </c>
      <c r="AM631" s="86">
        <v>40703553</v>
      </c>
    </row>
    <row r="632" spans="13:39" hidden="1">
      <c r="M632" s="131">
        <v>90018</v>
      </c>
      <c r="N632" s="223">
        <v>483421</v>
      </c>
      <c r="O632" s="132" t="s">
        <v>244</v>
      </c>
      <c r="P632" s="132" t="s">
        <v>245</v>
      </c>
      <c r="Q632" s="133">
        <v>248</v>
      </c>
      <c r="R632" s="132" t="s">
        <v>279</v>
      </c>
      <c r="S632" s="132" t="s">
        <v>11</v>
      </c>
      <c r="T632" s="134">
        <v>42246</v>
      </c>
      <c r="U632" s="172">
        <f t="shared" si="37"/>
        <v>2015</v>
      </c>
      <c r="V632" s="172">
        <f t="shared" si="38"/>
        <v>8</v>
      </c>
      <c r="W632" s="44" t="s">
        <v>291</v>
      </c>
      <c r="X632" t="s">
        <v>892</v>
      </c>
      <c r="Y632">
        <v>1</v>
      </c>
      <c r="AA632" s="13">
        <f t="shared" si="36"/>
        <v>90018</v>
      </c>
      <c r="AE632" s="43"/>
      <c r="AL632" s="87" t="s">
        <v>819</v>
      </c>
      <c r="AM632" s="86">
        <v>407185</v>
      </c>
    </row>
    <row r="633" spans="13:39" hidden="1">
      <c r="M633" s="131">
        <v>90072</v>
      </c>
      <c r="N633" s="223">
        <v>566855</v>
      </c>
      <c r="O633" s="132" t="s">
        <v>244</v>
      </c>
      <c r="P633" s="132" t="s">
        <v>245</v>
      </c>
      <c r="Q633" s="133">
        <v>224</v>
      </c>
      <c r="R633" s="132" t="s">
        <v>279</v>
      </c>
      <c r="S633" s="132" t="s">
        <v>11</v>
      </c>
      <c r="T633" s="134">
        <v>42548</v>
      </c>
      <c r="U633" s="172">
        <f t="shared" si="37"/>
        <v>2016</v>
      </c>
      <c r="V633" s="172">
        <f t="shared" si="38"/>
        <v>6</v>
      </c>
      <c r="W633" s="44" t="s">
        <v>280</v>
      </c>
      <c r="X633" t="s">
        <v>892</v>
      </c>
      <c r="Y633">
        <v>1</v>
      </c>
      <c r="AA633" s="13">
        <f t="shared" si="36"/>
        <v>90072</v>
      </c>
      <c r="AE633" s="43"/>
      <c r="AL633" s="87" t="s">
        <v>819</v>
      </c>
      <c r="AM633" s="86">
        <v>40761979</v>
      </c>
    </row>
    <row r="634" spans="13:39" hidden="1">
      <c r="M634" s="131">
        <v>90099</v>
      </c>
      <c r="N634" s="223">
        <v>544643</v>
      </c>
      <c r="O634" s="132" t="s">
        <v>244</v>
      </c>
      <c r="P634" s="132" t="s">
        <v>245</v>
      </c>
      <c r="Q634" s="133">
        <v>1083</v>
      </c>
      <c r="R634" s="132" t="s">
        <v>279</v>
      </c>
      <c r="S634" s="132" t="s">
        <v>11</v>
      </c>
      <c r="T634" s="134">
        <v>42548</v>
      </c>
      <c r="U634" s="172">
        <f t="shared" si="37"/>
        <v>2016</v>
      </c>
      <c r="V634" s="172">
        <f t="shared" si="38"/>
        <v>6</v>
      </c>
      <c r="W634" s="44" t="s">
        <v>280</v>
      </c>
      <c r="X634" t="s">
        <v>892</v>
      </c>
      <c r="Y634">
        <v>1</v>
      </c>
      <c r="AA634" s="13">
        <f t="shared" si="36"/>
        <v>90099</v>
      </c>
      <c r="AE634" s="43"/>
      <c r="AL634" s="87" t="s">
        <v>819</v>
      </c>
      <c r="AM634" s="86">
        <v>407942</v>
      </c>
    </row>
    <row r="635" spans="13:39" hidden="1">
      <c r="M635" s="131">
        <v>90126</v>
      </c>
      <c r="N635" s="223">
        <v>489368</v>
      </c>
      <c r="O635" s="132" t="s">
        <v>244</v>
      </c>
      <c r="P635" s="132" t="s">
        <v>245</v>
      </c>
      <c r="Q635" s="133">
        <v>494</v>
      </c>
      <c r="R635" s="132" t="s">
        <v>279</v>
      </c>
      <c r="S635" s="132" t="s">
        <v>11</v>
      </c>
      <c r="T635" s="134">
        <v>42246</v>
      </c>
      <c r="U635" s="172">
        <f t="shared" si="37"/>
        <v>2015</v>
      </c>
      <c r="V635" s="172">
        <f t="shared" si="38"/>
        <v>8</v>
      </c>
      <c r="W635" s="44" t="s">
        <v>291</v>
      </c>
      <c r="X635" t="s">
        <v>892</v>
      </c>
      <c r="Y635">
        <v>1</v>
      </c>
      <c r="AA635" s="13">
        <f t="shared" si="36"/>
        <v>90126</v>
      </c>
      <c r="AE635" s="43"/>
      <c r="AL635" s="87" t="s">
        <v>819</v>
      </c>
      <c r="AM635" s="86">
        <v>408039</v>
      </c>
    </row>
    <row r="636" spans="13:39" hidden="1">
      <c r="M636" s="131">
        <v>90126</v>
      </c>
      <c r="N636" s="223">
        <v>491350</v>
      </c>
      <c r="O636" s="132" t="s">
        <v>244</v>
      </c>
      <c r="P636" s="132" t="s">
        <v>245</v>
      </c>
      <c r="Q636" s="133">
        <v>491</v>
      </c>
      <c r="R636" s="132" t="s">
        <v>279</v>
      </c>
      <c r="S636" s="132" t="s">
        <v>11</v>
      </c>
      <c r="T636" s="134">
        <v>42246</v>
      </c>
      <c r="U636" s="172">
        <f t="shared" si="37"/>
        <v>2015</v>
      </c>
      <c r="V636" s="172">
        <f t="shared" si="38"/>
        <v>8</v>
      </c>
      <c r="W636" s="44" t="s">
        <v>291</v>
      </c>
      <c r="X636" t="s">
        <v>892</v>
      </c>
      <c r="Y636">
        <v>1</v>
      </c>
      <c r="AA636" s="13">
        <f t="shared" si="36"/>
        <v>90126</v>
      </c>
      <c r="AE636" s="43"/>
      <c r="AL636" s="87" t="s">
        <v>819</v>
      </c>
      <c r="AM636" s="86">
        <v>408039</v>
      </c>
    </row>
    <row r="637" spans="13:39" hidden="1">
      <c r="M637" s="131">
        <v>90605</v>
      </c>
      <c r="N637" s="223">
        <v>493333</v>
      </c>
      <c r="O637" s="132" t="s">
        <v>244</v>
      </c>
      <c r="P637" s="132" t="s">
        <v>245</v>
      </c>
      <c r="Q637" s="133">
        <v>82</v>
      </c>
      <c r="R637" s="132" t="s">
        <v>279</v>
      </c>
      <c r="S637" s="132" t="s">
        <v>11</v>
      </c>
      <c r="T637" s="134">
        <v>42246</v>
      </c>
      <c r="U637" s="172">
        <f t="shared" si="37"/>
        <v>2015</v>
      </c>
      <c r="V637" s="172">
        <f t="shared" si="38"/>
        <v>8</v>
      </c>
      <c r="W637" s="44" t="s">
        <v>291</v>
      </c>
      <c r="X637" t="s">
        <v>892</v>
      </c>
      <c r="Y637">
        <v>1</v>
      </c>
      <c r="AA637" s="13">
        <f t="shared" si="36"/>
        <v>90605</v>
      </c>
      <c r="AE637" s="43"/>
      <c r="AL637" s="87" t="s">
        <v>819</v>
      </c>
      <c r="AM637" s="86">
        <v>408065</v>
      </c>
    </row>
    <row r="638" spans="13:39" hidden="1">
      <c r="M638" s="131">
        <v>90665</v>
      </c>
      <c r="N638" s="223">
        <v>546921</v>
      </c>
      <c r="O638" s="132" t="s">
        <v>244</v>
      </c>
      <c r="P638" s="132" t="s">
        <v>245</v>
      </c>
      <c r="Q638" s="133">
        <v>1098</v>
      </c>
      <c r="R638" s="132" t="s">
        <v>279</v>
      </c>
      <c r="S638" s="132" t="s">
        <v>11</v>
      </c>
      <c r="T638" s="134">
        <v>42548</v>
      </c>
      <c r="U638" s="172">
        <f t="shared" si="37"/>
        <v>2016</v>
      </c>
      <c r="V638" s="172">
        <f t="shared" si="38"/>
        <v>6</v>
      </c>
      <c r="W638" s="44" t="s">
        <v>280</v>
      </c>
      <c r="X638" t="s">
        <v>892</v>
      </c>
      <c r="Y638">
        <v>1</v>
      </c>
      <c r="AA638" s="13">
        <f t="shared" si="36"/>
        <v>90665</v>
      </c>
      <c r="AE638" s="43"/>
      <c r="AL638" s="87" t="s">
        <v>819</v>
      </c>
      <c r="AM638" s="86">
        <v>408490</v>
      </c>
    </row>
    <row r="639" spans="13:39" hidden="1">
      <c r="M639" s="131">
        <v>90800</v>
      </c>
      <c r="N639" s="223">
        <v>490359</v>
      </c>
      <c r="O639" s="132" t="s">
        <v>244</v>
      </c>
      <c r="P639" s="132" t="s">
        <v>245</v>
      </c>
      <c r="Q639" s="133">
        <v>216</v>
      </c>
      <c r="R639" s="132" t="s">
        <v>279</v>
      </c>
      <c r="S639" s="132" t="s">
        <v>11</v>
      </c>
      <c r="T639" s="134">
        <v>42246</v>
      </c>
      <c r="U639" s="172">
        <f t="shared" si="37"/>
        <v>2015</v>
      </c>
      <c r="V639" s="172">
        <f t="shared" si="38"/>
        <v>8</v>
      </c>
      <c r="W639" s="44" t="s">
        <v>291</v>
      </c>
      <c r="X639" t="s">
        <v>892</v>
      </c>
      <c r="Y639">
        <v>1</v>
      </c>
      <c r="AA639" s="13">
        <f t="shared" si="36"/>
        <v>90800</v>
      </c>
      <c r="AE639" s="43"/>
      <c r="AL639" s="87" t="s">
        <v>819</v>
      </c>
      <c r="AM639" s="86">
        <v>408540</v>
      </c>
    </row>
    <row r="640" spans="13:39" hidden="1">
      <c r="M640" s="131">
        <v>90900</v>
      </c>
      <c r="N640" s="223">
        <v>491350</v>
      </c>
      <c r="O640" s="132" t="s">
        <v>244</v>
      </c>
      <c r="P640" s="132" t="s">
        <v>245</v>
      </c>
      <c r="Q640" s="133">
        <v>458</v>
      </c>
      <c r="R640" s="132" t="s">
        <v>279</v>
      </c>
      <c r="S640" s="132" t="s">
        <v>11</v>
      </c>
      <c r="T640" s="134">
        <v>42246</v>
      </c>
      <c r="U640" s="172">
        <f t="shared" si="37"/>
        <v>2015</v>
      </c>
      <c r="V640" s="172">
        <f t="shared" si="38"/>
        <v>8</v>
      </c>
      <c r="W640" s="44" t="s">
        <v>291</v>
      </c>
      <c r="X640" t="s">
        <v>892</v>
      </c>
      <c r="Y640">
        <v>1</v>
      </c>
      <c r="AA640" s="13">
        <f t="shared" si="36"/>
        <v>90900</v>
      </c>
      <c r="AE640" s="43"/>
      <c r="AL640" s="87" t="s">
        <v>819</v>
      </c>
      <c r="AM640" s="86">
        <v>40887572</v>
      </c>
    </row>
    <row r="641" spans="13:39" hidden="1">
      <c r="M641" s="131">
        <v>91000</v>
      </c>
      <c r="N641" s="223">
        <v>527528</v>
      </c>
      <c r="O641" s="132" t="s">
        <v>244</v>
      </c>
      <c r="P641" s="132" t="s">
        <v>245</v>
      </c>
      <c r="Q641" s="133">
        <v>363</v>
      </c>
      <c r="R641" s="132" t="s">
        <v>279</v>
      </c>
      <c r="S641" s="132" t="s">
        <v>11</v>
      </c>
      <c r="T641" s="134">
        <v>42246</v>
      </c>
      <c r="U641" s="172">
        <f t="shared" si="37"/>
        <v>2015</v>
      </c>
      <c r="V641" s="172">
        <f t="shared" si="38"/>
        <v>8</v>
      </c>
      <c r="W641" s="44" t="s">
        <v>291</v>
      </c>
      <c r="X641" t="s">
        <v>892</v>
      </c>
      <c r="Y641">
        <v>1</v>
      </c>
      <c r="AA641" s="13">
        <f t="shared" si="36"/>
        <v>91000</v>
      </c>
      <c r="AE641" s="43"/>
      <c r="AL641" s="87" t="s">
        <v>819</v>
      </c>
      <c r="AM641" s="86">
        <v>4102864</v>
      </c>
    </row>
    <row r="642" spans="13:39" hidden="1">
      <c r="M642" s="131">
        <v>91000</v>
      </c>
      <c r="N642" s="223">
        <v>545782</v>
      </c>
      <c r="O642" s="132" t="s">
        <v>244</v>
      </c>
      <c r="P642" s="132" t="s">
        <v>245</v>
      </c>
      <c r="Q642" s="133">
        <v>1035</v>
      </c>
      <c r="R642" s="132" t="s">
        <v>279</v>
      </c>
      <c r="S642" s="132" t="s">
        <v>11</v>
      </c>
      <c r="T642" s="134">
        <v>42548</v>
      </c>
      <c r="U642" s="172">
        <f t="shared" si="37"/>
        <v>2016</v>
      </c>
      <c r="V642" s="172">
        <f t="shared" si="38"/>
        <v>6</v>
      </c>
      <c r="W642" s="44" t="s">
        <v>280</v>
      </c>
      <c r="X642" t="s">
        <v>892</v>
      </c>
      <c r="Y642">
        <v>1</v>
      </c>
      <c r="AA642" s="13">
        <f t="shared" si="36"/>
        <v>91000</v>
      </c>
      <c r="AE642" s="43"/>
      <c r="AL642" s="87" t="s">
        <v>819</v>
      </c>
      <c r="AM642" s="86">
        <v>411506</v>
      </c>
    </row>
    <row r="643" spans="13:39" hidden="1">
      <c r="M643" s="131">
        <v>91000</v>
      </c>
      <c r="N643" s="223">
        <v>549769</v>
      </c>
      <c r="O643" s="132" t="s">
        <v>244</v>
      </c>
      <c r="P643" s="132" t="s">
        <v>245</v>
      </c>
      <c r="Q643" s="133">
        <v>1108</v>
      </c>
      <c r="R643" s="132" t="s">
        <v>279</v>
      </c>
      <c r="S643" s="132" t="s">
        <v>11</v>
      </c>
      <c r="T643" s="134">
        <v>42548</v>
      </c>
      <c r="U643" s="172">
        <f t="shared" si="37"/>
        <v>2016</v>
      </c>
      <c r="V643" s="172">
        <f t="shared" si="38"/>
        <v>6</v>
      </c>
      <c r="W643" s="44" t="s">
        <v>280</v>
      </c>
      <c r="X643" t="s">
        <v>892</v>
      </c>
      <c r="Y643">
        <v>1</v>
      </c>
      <c r="AA643" s="13">
        <f t="shared" si="36"/>
        <v>91000</v>
      </c>
      <c r="AE643" s="43"/>
      <c r="AL643" s="87" t="s">
        <v>819</v>
      </c>
      <c r="AM643" s="86">
        <v>411506</v>
      </c>
    </row>
    <row r="644" spans="13:39" hidden="1">
      <c r="M644" s="131">
        <v>91101</v>
      </c>
      <c r="N644" s="223">
        <v>489368</v>
      </c>
      <c r="O644" s="132" t="s">
        <v>244</v>
      </c>
      <c r="P644" s="132" t="s">
        <v>245</v>
      </c>
      <c r="Q644" s="133">
        <v>79</v>
      </c>
      <c r="R644" s="132" t="s">
        <v>279</v>
      </c>
      <c r="S644" s="132" t="s">
        <v>11</v>
      </c>
      <c r="T644" s="134">
        <v>42246</v>
      </c>
      <c r="U644" s="172">
        <f t="shared" si="37"/>
        <v>2015</v>
      </c>
      <c r="V644" s="172">
        <f t="shared" si="38"/>
        <v>8</v>
      </c>
      <c r="W644" s="44" t="s">
        <v>291</v>
      </c>
      <c r="X644" t="s">
        <v>892</v>
      </c>
      <c r="Y644">
        <v>1</v>
      </c>
      <c r="AA644" s="13">
        <f t="shared" ref="AA644:AA707" si="39">IF(M644&lt;30000,Y644*100*M644*(1-$L$1)-$L$2*Y644,M644)</f>
        <v>91101</v>
      </c>
      <c r="AE644" s="43"/>
      <c r="AL644" s="87" t="s">
        <v>819</v>
      </c>
      <c r="AM644" s="86">
        <v>411506</v>
      </c>
    </row>
    <row r="645" spans="13:39" hidden="1">
      <c r="M645" s="131">
        <v>91111</v>
      </c>
      <c r="N645" s="223">
        <v>552047</v>
      </c>
      <c r="O645" s="132" t="s">
        <v>244</v>
      </c>
      <c r="P645" s="132" t="s">
        <v>245</v>
      </c>
      <c r="Q645" s="133">
        <v>1289</v>
      </c>
      <c r="R645" s="132" t="s">
        <v>279</v>
      </c>
      <c r="S645" s="132" t="s">
        <v>11</v>
      </c>
      <c r="T645" s="134">
        <v>42548</v>
      </c>
      <c r="U645" s="172">
        <f t="shared" si="37"/>
        <v>2016</v>
      </c>
      <c r="V645" s="172">
        <f t="shared" si="38"/>
        <v>6</v>
      </c>
      <c r="W645" s="44" t="s">
        <v>280</v>
      </c>
      <c r="X645" t="s">
        <v>892</v>
      </c>
      <c r="Y645">
        <v>1</v>
      </c>
      <c r="AA645" s="13">
        <f t="shared" si="39"/>
        <v>91111</v>
      </c>
      <c r="AE645" s="43"/>
      <c r="AL645" s="87" t="s">
        <v>819</v>
      </c>
      <c r="AM645" s="86">
        <v>411702</v>
      </c>
    </row>
    <row r="646" spans="13:39" hidden="1">
      <c r="M646" s="131">
        <v>91200</v>
      </c>
      <c r="N646" s="223">
        <v>544074</v>
      </c>
      <c r="O646" s="132" t="s">
        <v>244</v>
      </c>
      <c r="P646" s="132" t="s">
        <v>245</v>
      </c>
      <c r="Q646" s="133">
        <v>1284</v>
      </c>
      <c r="R646" s="132" t="s">
        <v>279</v>
      </c>
      <c r="S646" s="132" t="s">
        <v>11</v>
      </c>
      <c r="T646" s="134">
        <v>42548</v>
      </c>
      <c r="U646" s="172">
        <f t="shared" si="37"/>
        <v>2016</v>
      </c>
      <c r="V646" s="172">
        <f t="shared" si="38"/>
        <v>6</v>
      </c>
      <c r="W646" s="44" t="s">
        <v>280</v>
      </c>
      <c r="X646" t="s">
        <v>892</v>
      </c>
      <c r="Y646">
        <v>1</v>
      </c>
      <c r="AA646" s="13">
        <f t="shared" si="39"/>
        <v>91200</v>
      </c>
      <c r="AE646" s="43"/>
      <c r="AL646" s="87" t="s">
        <v>819</v>
      </c>
      <c r="AM646" s="86">
        <v>411702</v>
      </c>
    </row>
    <row r="647" spans="13:39" hidden="1">
      <c r="M647" s="131">
        <v>91448</v>
      </c>
      <c r="N647" s="223">
        <v>562868</v>
      </c>
      <c r="O647" s="132" t="s">
        <v>244</v>
      </c>
      <c r="P647" s="132" t="s">
        <v>245</v>
      </c>
      <c r="Q647" s="133">
        <v>350</v>
      </c>
      <c r="R647" s="132" t="s">
        <v>279</v>
      </c>
      <c r="S647" s="132" t="s">
        <v>11</v>
      </c>
      <c r="T647" s="134">
        <v>42548</v>
      </c>
      <c r="U647" s="172">
        <f t="shared" ref="U647:U710" si="40">YEAR($T647)</f>
        <v>2016</v>
      </c>
      <c r="V647" s="172">
        <f t="shared" ref="V647:V710" si="41">MONTH($T647)</f>
        <v>6</v>
      </c>
      <c r="W647" s="44" t="s">
        <v>280</v>
      </c>
      <c r="X647" t="s">
        <v>892</v>
      </c>
      <c r="Y647">
        <v>1</v>
      </c>
      <c r="AA647" s="13">
        <f t="shared" si="39"/>
        <v>91448</v>
      </c>
      <c r="AE647" s="43"/>
      <c r="AL647" s="87" t="s">
        <v>819</v>
      </c>
      <c r="AM647" s="86">
        <v>411702</v>
      </c>
    </row>
    <row r="648" spans="13:39" hidden="1">
      <c r="M648" s="131">
        <v>91500</v>
      </c>
      <c r="N648" s="223">
        <v>557742</v>
      </c>
      <c r="O648" s="132" t="s">
        <v>244</v>
      </c>
      <c r="P648" s="132" t="s">
        <v>245</v>
      </c>
      <c r="Q648" s="133">
        <v>1456</v>
      </c>
      <c r="R648" s="132" t="s">
        <v>279</v>
      </c>
      <c r="S648" s="132" t="s">
        <v>11</v>
      </c>
      <c r="T648" s="134">
        <v>42548</v>
      </c>
      <c r="U648" s="172">
        <f t="shared" si="40"/>
        <v>2016</v>
      </c>
      <c r="V648" s="172">
        <f t="shared" si="41"/>
        <v>6</v>
      </c>
      <c r="W648" s="44" t="s">
        <v>280</v>
      </c>
      <c r="X648" t="s">
        <v>892</v>
      </c>
      <c r="Y648">
        <v>1</v>
      </c>
      <c r="AA648" s="13">
        <f t="shared" si="39"/>
        <v>91500</v>
      </c>
      <c r="AE648" s="43"/>
      <c r="AL648" s="87" t="s">
        <v>819</v>
      </c>
      <c r="AM648" s="86">
        <v>411711</v>
      </c>
    </row>
    <row r="649" spans="13:39" hidden="1">
      <c r="M649" s="131">
        <v>91521</v>
      </c>
      <c r="N649" s="223">
        <v>542935</v>
      </c>
      <c r="O649" s="132" t="s">
        <v>244</v>
      </c>
      <c r="P649" s="132" t="s">
        <v>245</v>
      </c>
      <c r="Q649" s="133">
        <v>1583</v>
      </c>
      <c r="R649" s="132" t="s">
        <v>279</v>
      </c>
      <c r="S649" s="132" t="s">
        <v>11</v>
      </c>
      <c r="T649" s="134">
        <v>42548</v>
      </c>
      <c r="U649" s="172">
        <f t="shared" si="40"/>
        <v>2016</v>
      </c>
      <c r="V649" s="172">
        <f t="shared" si="41"/>
        <v>6</v>
      </c>
      <c r="W649" s="44" t="s">
        <v>280</v>
      </c>
      <c r="X649" t="s">
        <v>892</v>
      </c>
      <c r="Y649">
        <v>1</v>
      </c>
      <c r="AA649" s="13">
        <f t="shared" si="39"/>
        <v>91521</v>
      </c>
      <c r="AE649" s="43"/>
      <c r="AL649" s="87" t="s">
        <v>819</v>
      </c>
      <c r="AM649" s="86">
        <v>411711</v>
      </c>
    </row>
    <row r="650" spans="13:39" hidden="1">
      <c r="M650" s="131">
        <v>91555</v>
      </c>
      <c r="N650" s="223">
        <v>490854</v>
      </c>
      <c r="O650" s="132" t="s">
        <v>244</v>
      </c>
      <c r="P650" s="132" t="s">
        <v>245</v>
      </c>
      <c r="Q650" s="133">
        <v>125</v>
      </c>
      <c r="R650" s="132" t="s">
        <v>279</v>
      </c>
      <c r="S650" s="132" t="s">
        <v>11</v>
      </c>
      <c r="T650" s="134">
        <v>42246</v>
      </c>
      <c r="U650" s="172">
        <f t="shared" si="40"/>
        <v>2015</v>
      </c>
      <c r="V650" s="172">
        <f t="shared" si="41"/>
        <v>8</v>
      </c>
      <c r="W650" s="44" t="s">
        <v>291</v>
      </c>
      <c r="X650" t="s">
        <v>892</v>
      </c>
      <c r="Y650">
        <v>1</v>
      </c>
      <c r="AA650" s="13">
        <f t="shared" si="39"/>
        <v>91555</v>
      </c>
      <c r="AE650" s="43"/>
      <c r="AL650" s="87" t="s">
        <v>819</v>
      </c>
      <c r="AM650" s="86">
        <v>411711</v>
      </c>
    </row>
    <row r="651" spans="13:39" hidden="1">
      <c r="M651" s="131">
        <v>91901</v>
      </c>
      <c r="N651" s="223">
        <v>486394</v>
      </c>
      <c r="O651" s="132" t="s">
        <v>244</v>
      </c>
      <c r="P651" s="132" t="s">
        <v>245</v>
      </c>
      <c r="Q651" s="133">
        <v>521</v>
      </c>
      <c r="R651" s="132" t="s">
        <v>279</v>
      </c>
      <c r="S651" s="132" t="s">
        <v>11</v>
      </c>
      <c r="T651" s="134">
        <v>42246</v>
      </c>
      <c r="U651" s="172">
        <f t="shared" si="40"/>
        <v>2015</v>
      </c>
      <c r="V651" s="172">
        <f t="shared" si="41"/>
        <v>8</v>
      </c>
      <c r="W651" s="44" t="s">
        <v>291</v>
      </c>
      <c r="X651" t="s">
        <v>892</v>
      </c>
      <c r="Y651">
        <v>1</v>
      </c>
      <c r="AA651" s="13">
        <f t="shared" si="39"/>
        <v>91901</v>
      </c>
      <c r="AE651" s="43"/>
      <c r="AL651" s="87" t="s">
        <v>819</v>
      </c>
      <c r="AM651" s="86">
        <v>411711</v>
      </c>
    </row>
    <row r="652" spans="13:39" hidden="1">
      <c r="M652" s="131">
        <v>92000</v>
      </c>
      <c r="N652" s="223">
        <v>479951</v>
      </c>
      <c r="O652" s="132" t="s">
        <v>244</v>
      </c>
      <c r="P652" s="132" t="s">
        <v>245</v>
      </c>
      <c r="Q652" s="133">
        <v>146</v>
      </c>
      <c r="R652" s="132" t="s">
        <v>279</v>
      </c>
      <c r="S652" s="132" t="s">
        <v>11</v>
      </c>
      <c r="T652" s="134">
        <v>42246</v>
      </c>
      <c r="U652" s="172">
        <f t="shared" si="40"/>
        <v>2015</v>
      </c>
      <c r="V652" s="172">
        <f t="shared" si="41"/>
        <v>8</v>
      </c>
      <c r="W652" s="44" t="s">
        <v>291</v>
      </c>
      <c r="X652" t="s">
        <v>892</v>
      </c>
      <c r="Y652">
        <v>1</v>
      </c>
      <c r="AA652" s="13">
        <f t="shared" si="39"/>
        <v>92000</v>
      </c>
      <c r="AE652" s="43"/>
      <c r="AL652" s="87" t="s">
        <v>819</v>
      </c>
      <c r="AM652" s="86">
        <v>411805</v>
      </c>
    </row>
    <row r="653" spans="13:39" hidden="1">
      <c r="M653" s="131">
        <v>92000</v>
      </c>
      <c r="N653" s="223">
        <v>492342</v>
      </c>
      <c r="O653" s="132" t="s">
        <v>244</v>
      </c>
      <c r="P653" s="132" t="s">
        <v>245</v>
      </c>
      <c r="Q653" s="133">
        <v>106</v>
      </c>
      <c r="R653" s="132" t="s">
        <v>279</v>
      </c>
      <c r="S653" s="132" t="s">
        <v>11</v>
      </c>
      <c r="T653" s="134">
        <v>42246</v>
      </c>
      <c r="U653" s="172">
        <f t="shared" si="40"/>
        <v>2015</v>
      </c>
      <c r="V653" s="172">
        <f t="shared" si="41"/>
        <v>8</v>
      </c>
      <c r="W653" s="44" t="s">
        <v>291</v>
      </c>
      <c r="X653" t="s">
        <v>892</v>
      </c>
      <c r="Y653">
        <v>1</v>
      </c>
      <c r="AA653" s="13">
        <f t="shared" si="39"/>
        <v>92000</v>
      </c>
      <c r="AE653" s="43"/>
      <c r="AL653" s="87" t="s">
        <v>819</v>
      </c>
      <c r="AM653" s="86">
        <v>413341</v>
      </c>
    </row>
    <row r="654" spans="13:39" hidden="1">
      <c r="M654" s="131">
        <v>92001</v>
      </c>
      <c r="N654" s="223">
        <v>484908</v>
      </c>
      <c r="O654" s="132" t="s">
        <v>244</v>
      </c>
      <c r="P654" s="132" t="s">
        <v>245</v>
      </c>
      <c r="Q654" s="133">
        <v>508</v>
      </c>
      <c r="R654" s="132" t="s">
        <v>279</v>
      </c>
      <c r="S654" s="132" t="s">
        <v>11</v>
      </c>
      <c r="T654" s="134">
        <v>42246</v>
      </c>
      <c r="U654" s="172">
        <f t="shared" si="40"/>
        <v>2015</v>
      </c>
      <c r="V654" s="172">
        <f t="shared" si="41"/>
        <v>8</v>
      </c>
      <c r="W654" s="44" t="s">
        <v>291</v>
      </c>
      <c r="X654" t="s">
        <v>892</v>
      </c>
      <c r="Y654">
        <v>1</v>
      </c>
      <c r="AA654" s="13">
        <f t="shared" si="39"/>
        <v>92001</v>
      </c>
      <c r="AE654" s="43"/>
      <c r="AL654" s="87" t="s">
        <v>819</v>
      </c>
      <c r="AM654" s="86">
        <v>414143</v>
      </c>
    </row>
    <row r="655" spans="13:39" hidden="1">
      <c r="M655" s="131">
        <v>92092</v>
      </c>
      <c r="N655" s="223">
        <v>541796</v>
      </c>
      <c r="O655" s="132" t="s">
        <v>244</v>
      </c>
      <c r="P655" s="132" t="s">
        <v>245</v>
      </c>
      <c r="Q655" s="133">
        <v>1578</v>
      </c>
      <c r="R655" s="132" t="s">
        <v>279</v>
      </c>
      <c r="S655" s="132" t="s">
        <v>11</v>
      </c>
      <c r="T655" s="134">
        <v>42548</v>
      </c>
      <c r="U655" s="172">
        <f t="shared" si="40"/>
        <v>2016</v>
      </c>
      <c r="V655" s="172">
        <f t="shared" si="41"/>
        <v>6</v>
      </c>
      <c r="W655" s="44" t="s">
        <v>280</v>
      </c>
      <c r="X655" t="s">
        <v>892</v>
      </c>
      <c r="Y655">
        <v>1</v>
      </c>
      <c r="AA655" s="13">
        <f t="shared" si="39"/>
        <v>92092</v>
      </c>
      <c r="AE655" s="43"/>
      <c r="AL655" s="87" t="s">
        <v>819</v>
      </c>
      <c r="AM655" s="86">
        <v>41470164</v>
      </c>
    </row>
    <row r="656" spans="13:39" hidden="1">
      <c r="M656" s="131">
        <v>92210</v>
      </c>
      <c r="N656" s="223">
        <v>489864</v>
      </c>
      <c r="O656" s="132" t="s">
        <v>244</v>
      </c>
      <c r="P656" s="132" t="s">
        <v>245</v>
      </c>
      <c r="Q656" s="133">
        <v>352</v>
      </c>
      <c r="R656" s="132" t="s">
        <v>279</v>
      </c>
      <c r="S656" s="132" t="s">
        <v>11</v>
      </c>
      <c r="T656" s="134">
        <v>42246</v>
      </c>
      <c r="U656" s="172">
        <f t="shared" si="40"/>
        <v>2015</v>
      </c>
      <c r="V656" s="172">
        <f t="shared" si="41"/>
        <v>8</v>
      </c>
      <c r="W656" s="44" t="s">
        <v>291</v>
      </c>
      <c r="X656" t="s">
        <v>892</v>
      </c>
      <c r="Y656">
        <v>1</v>
      </c>
      <c r="AA656" s="13">
        <f t="shared" si="39"/>
        <v>92210</v>
      </c>
      <c r="AE656" s="43"/>
      <c r="AL656" s="87" t="s">
        <v>819</v>
      </c>
      <c r="AM656" s="86">
        <v>41470164</v>
      </c>
    </row>
    <row r="657" spans="13:39" hidden="1">
      <c r="M657" s="131">
        <v>92222</v>
      </c>
      <c r="N657" s="223">
        <v>543504</v>
      </c>
      <c r="O657" s="132" t="s">
        <v>244</v>
      </c>
      <c r="P657" s="132" t="s">
        <v>245</v>
      </c>
      <c r="Q657" s="133">
        <v>1142</v>
      </c>
      <c r="R657" s="132" t="s">
        <v>279</v>
      </c>
      <c r="S657" s="132" t="s">
        <v>11</v>
      </c>
      <c r="T657" s="134">
        <v>42548</v>
      </c>
      <c r="U657" s="172">
        <f t="shared" si="40"/>
        <v>2016</v>
      </c>
      <c r="V657" s="172">
        <f t="shared" si="41"/>
        <v>6</v>
      </c>
      <c r="W657" s="44" t="s">
        <v>280</v>
      </c>
      <c r="X657" t="s">
        <v>892</v>
      </c>
      <c r="Y657">
        <v>1</v>
      </c>
      <c r="AA657" s="13">
        <f t="shared" si="39"/>
        <v>92222</v>
      </c>
      <c r="AE657" s="43"/>
      <c r="AL657" s="87" t="s">
        <v>819</v>
      </c>
      <c r="AM657" s="86">
        <v>41470166</v>
      </c>
    </row>
    <row r="658" spans="13:39" hidden="1">
      <c r="M658" s="131">
        <v>92244</v>
      </c>
      <c r="N658" s="223">
        <v>544074</v>
      </c>
      <c r="O658" s="132" t="s">
        <v>244</v>
      </c>
      <c r="P658" s="132" t="s">
        <v>245</v>
      </c>
      <c r="Q658" s="133">
        <v>1544</v>
      </c>
      <c r="R658" s="132" t="s">
        <v>279</v>
      </c>
      <c r="S658" s="132" t="s">
        <v>11</v>
      </c>
      <c r="T658" s="134">
        <v>42548</v>
      </c>
      <c r="U658" s="172">
        <f t="shared" si="40"/>
        <v>2016</v>
      </c>
      <c r="V658" s="172">
        <f t="shared" si="41"/>
        <v>6</v>
      </c>
      <c r="W658" s="44" t="s">
        <v>280</v>
      </c>
      <c r="X658" t="s">
        <v>892</v>
      </c>
      <c r="Y658">
        <v>1</v>
      </c>
      <c r="AA658" s="13">
        <f t="shared" si="39"/>
        <v>92244</v>
      </c>
      <c r="AE658" s="43"/>
      <c r="AL658" s="87" t="s">
        <v>819</v>
      </c>
      <c r="AM658" s="86">
        <v>4147294</v>
      </c>
    </row>
    <row r="659" spans="13:39" hidden="1">
      <c r="M659" s="131">
        <v>92290</v>
      </c>
      <c r="N659" s="223">
        <v>493828</v>
      </c>
      <c r="O659" s="132" t="s">
        <v>244</v>
      </c>
      <c r="P659" s="132" t="s">
        <v>245</v>
      </c>
      <c r="Q659" s="133">
        <v>349</v>
      </c>
      <c r="R659" s="132" t="s">
        <v>279</v>
      </c>
      <c r="S659" s="132" t="s">
        <v>11</v>
      </c>
      <c r="T659" s="134">
        <v>42246</v>
      </c>
      <c r="U659" s="172">
        <f t="shared" si="40"/>
        <v>2015</v>
      </c>
      <c r="V659" s="172">
        <f t="shared" si="41"/>
        <v>8</v>
      </c>
      <c r="W659" s="44" t="s">
        <v>291</v>
      </c>
      <c r="X659" t="s">
        <v>892</v>
      </c>
      <c r="Y659">
        <v>1</v>
      </c>
      <c r="AA659" s="13">
        <f t="shared" si="39"/>
        <v>92290</v>
      </c>
      <c r="AE659" s="43"/>
      <c r="AL659" s="87" t="s">
        <v>819</v>
      </c>
      <c r="AM659" s="86">
        <v>415100</v>
      </c>
    </row>
    <row r="660" spans="13:39" hidden="1">
      <c r="M660" s="131">
        <v>92328</v>
      </c>
      <c r="N660" s="223">
        <v>457672</v>
      </c>
      <c r="O660" s="132" t="s">
        <v>244</v>
      </c>
      <c r="P660" s="132" t="s">
        <v>245</v>
      </c>
      <c r="Q660" s="133">
        <v>1397</v>
      </c>
      <c r="R660" s="132" t="s">
        <v>279</v>
      </c>
      <c r="S660" s="132" t="s">
        <v>11</v>
      </c>
      <c r="T660" s="134">
        <v>42548</v>
      </c>
      <c r="U660" s="172">
        <f t="shared" si="40"/>
        <v>2016</v>
      </c>
      <c r="V660" s="172">
        <f t="shared" si="41"/>
        <v>6</v>
      </c>
      <c r="W660" s="44" t="s">
        <v>280</v>
      </c>
      <c r="X660" t="s">
        <v>892</v>
      </c>
      <c r="Y660">
        <v>1</v>
      </c>
      <c r="AA660" s="13">
        <f t="shared" si="39"/>
        <v>92328</v>
      </c>
      <c r="AE660" s="43"/>
      <c r="AL660" s="87" t="s">
        <v>819</v>
      </c>
      <c r="AM660" s="86">
        <v>416411</v>
      </c>
    </row>
    <row r="661" spans="13:39" hidden="1">
      <c r="M661" s="131">
        <v>92501</v>
      </c>
      <c r="N661" s="223">
        <v>483421</v>
      </c>
      <c r="O661" s="132" t="s">
        <v>244</v>
      </c>
      <c r="P661" s="132" t="s">
        <v>245</v>
      </c>
      <c r="Q661" s="133">
        <v>270</v>
      </c>
      <c r="R661" s="132" t="s">
        <v>279</v>
      </c>
      <c r="S661" s="132" t="s">
        <v>11</v>
      </c>
      <c r="T661" s="134">
        <v>42246</v>
      </c>
      <c r="U661" s="172">
        <f t="shared" si="40"/>
        <v>2015</v>
      </c>
      <c r="V661" s="172">
        <f t="shared" si="41"/>
        <v>8</v>
      </c>
      <c r="W661" s="44" t="s">
        <v>291</v>
      </c>
      <c r="X661" t="s">
        <v>892</v>
      </c>
      <c r="Y661">
        <v>1</v>
      </c>
      <c r="AA661" s="13">
        <f t="shared" si="39"/>
        <v>92501</v>
      </c>
      <c r="AE661" s="43"/>
      <c r="AL661" s="87" t="s">
        <v>819</v>
      </c>
      <c r="AM661" s="86">
        <v>417342</v>
      </c>
    </row>
    <row r="662" spans="13:39" hidden="1">
      <c r="M662" s="131">
        <v>93217</v>
      </c>
      <c r="N662" s="223">
        <v>542935</v>
      </c>
      <c r="O662" s="132" t="s">
        <v>244</v>
      </c>
      <c r="P662" s="132" t="s">
        <v>245</v>
      </c>
      <c r="Q662" s="133">
        <v>1543</v>
      </c>
      <c r="R662" s="132" t="s">
        <v>279</v>
      </c>
      <c r="S662" s="132" t="s">
        <v>11</v>
      </c>
      <c r="T662" s="134">
        <v>42548</v>
      </c>
      <c r="U662" s="172">
        <f t="shared" si="40"/>
        <v>2016</v>
      </c>
      <c r="V662" s="172">
        <f t="shared" si="41"/>
        <v>6</v>
      </c>
      <c r="W662" s="44" t="s">
        <v>280</v>
      </c>
      <c r="X662" t="s">
        <v>892</v>
      </c>
      <c r="Y662">
        <v>1</v>
      </c>
      <c r="AA662" s="13">
        <f t="shared" si="39"/>
        <v>93217</v>
      </c>
      <c r="AE662" s="43"/>
      <c r="AL662" s="87" t="s">
        <v>819</v>
      </c>
      <c r="AM662" s="86">
        <v>417342</v>
      </c>
    </row>
    <row r="663" spans="13:39" hidden="1">
      <c r="M663" s="131">
        <v>93550</v>
      </c>
      <c r="N663" s="223">
        <v>493828</v>
      </c>
      <c r="O663" s="132" t="s">
        <v>244</v>
      </c>
      <c r="P663" s="132" t="s">
        <v>245</v>
      </c>
      <c r="Q663" s="133">
        <v>105</v>
      </c>
      <c r="R663" s="132" t="s">
        <v>279</v>
      </c>
      <c r="S663" s="132" t="s">
        <v>11</v>
      </c>
      <c r="T663" s="134">
        <v>42246</v>
      </c>
      <c r="U663" s="172">
        <f t="shared" si="40"/>
        <v>2015</v>
      </c>
      <c r="V663" s="172">
        <f t="shared" si="41"/>
        <v>8</v>
      </c>
      <c r="W663" s="44" t="s">
        <v>291</v>
      </c>
      <c r="X663" t="s">
        <v>892</v>
      </c>
      <c r="Y663">
        <v>1</v>
      </c>
      <c r="AA663" s="13">
        <f t="shared" si="39"/>
        <v>93550</v>
      </c>
      <c r="AE663" s="43"/>
      <c r="AL663" s="87" t="s">
        <v>819</v>
      </c>
      <c r="AM663" s="86">
        <v>417342</v>
      </c>
    </row>
    <row r="664" spans="13:39" hidden="1">
      <c r="M664" s="131">
        <v>93710</v>
      </c>
      <c r="N664" s="223">
        <v>575397</v>
      </c>
      <c r="O664" s="132" t="s">
        <v>244</v>
      </c>
      <c r="P664" s="132" t="s">
        <v>245</v>
      </c>
      <c r="Q664" s="133">
        <v>1479</v>
      </c>
      <c r="R664" s="132" t="s">
        <v>279</v>
      </c>
      <c r="S664" s="132" t="s">
        <v>11</v>
      </c>
      <c r="T664" s="134">
        <v>42548</v>
      </c>
      <c r="U664" s="172">
        <f t="shared" si="40"/>
        <v>2016</v>
      </c>
      <c r="V664" s="172">
        <f t="shared" si="41"/>
        <v>6</v>
      </c>
      <c r="W664" s="44" t="s">
        <v>280</v>
      </c>
      <c r="X664" t="s">
        <v>892</v>
      </c>
      <c r="Y664">
        <v>1</v>
      </c>
      <c r="AA664" s="13">
        <f t="shared" si="39"/>
        <v>93710</v>
      </c>
      <c r="AE664" s="43"/>
      <c r="AL664" s="87" t="s">
        <v>819</v>
      </c>
      <c r="AM664" s="86">
        <v>417342</v>
      </c>
    </row>
    <row r="665" spans="13:39" hidden="1">
      <c r="M665" s="131">
        <v>93755</v>
      </c>
      <c r="N665" s="223">
        <v>482430</v>
      </c>
      <c r="O665" s="132" t="s">
        <v>244</v>
      </c>
      <c r="P665" s="132" t="s">
        <v>245</v>
      </c>
      <c r="Q665" s="133">
        <v>257</v>
      </c>
      <c r="R665" s="132" t="s">
        <v>279</v>
      </c>
      <c r="S665" s="132" t="s">
        <v>11</v>
      </c>
      <c r="T665" s="134">
        <v>42246</v>
      </c>
      <c r="U665" s="172">
        <f t="shared" si="40"/>
        <v>2015</v>
      </c>
      <c r="V665" s="172">
        <f t="shared" si="41"/>
        <v>8</v>
      </c>
      <c r="W665" s="44" t="s">
        <v>291</v>
      </c>
      <c r="X665" t="s">
        <v>892</v>
      </c>
      <c r="Y665">
        <v>1</v>
      </c>
      <c r="AA665" s="13">
        <f t="shared" si="39"/>
        <v>93755</v>
      </c>
      <c r="AE665" s="43"/>
      <c r="AL665" s="87" t="s">
        <v>819</v>
      </c>
      <c r="AM665" s="86">
        <v>417342</v>
      </c>
    </row>
    <row r="666" spans="13:39" hidden="1">
      <c r="M666" s="131">
        <v>93777</v>
      </c>
      <c r="N666" s="223">
        <v>544074</v>
      </c>
      <c r="O666" s="132" t="s">
        <v>244</v>
      </c>
      <c r="P666" s="132" t="s">
        <v>245</v>
      </c>
      <c r="Q666" s="133">
        <v>1352</v>
      </c>
      <c r="R666" s="132" t="s">
        <v>279</v>
      </c>
      <c r="S666" s="132" t="s">
        <v>11</v>
      </c>
      <c r="T666" s="134">
        <v>42548</v>
      </c>
      <c r="U666" s="172">
        <f t="shared" si="40"/>
        <v>2016</v>
      </c>
      <c r="V666" s="172">
        <f t="shared" si="41"/>
        <v>6</v>
      </c>
      <c r="W666" s="44" t="s">
        <v>280</v>
      </c>
      <c r="X666" t="s">
        <v>892</v>
      </c>
      <c r="Y666">
        <v>1</v>
      </c>
      <c r="AA666" s="13">
        <f t="shared" si="39"/>
        <v>93777</v>
      </c>
      <c r="AE666" s="43"/>
      <c r="AL666" s="87" t="s">
        <v>819</v>
      </c>
      <c r="AM666" s="86">
        <v>417342</v>
      </c>
    </row>
    <row r="667" spans="13:39" hidden="1">
      <c r="M667" s="131">
        <v>93780</v>
      </c>
      <c r="N667" s="223">
        <v>492342</v>
      </c>
      <c r="O667" s="132" t="s">
        <v>244</v>
      </c>
      <c r="P667" s="132" t="s">
        <v>245</v>
      </c>
      <c r="Q667" s="133">
        <v>339</v>
      </c>
      <c r="R667" s="132" t="s">
        <v>279</v>
      </c>
      <c r="S667" s="132" t="s">
        <v>11</v>
      </c>
      <c r="T667" s="134">
        <v>42246</v>
      </c>
      <c r="U667" s="172">
        <f t="shared" si="40"/>
        <v>2015</v>
      </c>
      <c r="V667" s="172">
        <f t="shared" si="41"/>
        <v>8</v>
      </c>
      <c r="W667" s="44" t="s">
        <v>291</v>
      </c>
      <c r="X667" t="s">
        <v>892</v>
      </c>
      <c r="Y667">
        <v>1</v>
      </c>
      <c r="AA667" s="13">
        <f t="shared" si="39"/>
        <v>93780</v>
      </c>
      <c r="AE667" s="43"/>
      <c r="AL667" s="87" t="s">
        <v>819</v>
      </c>
      <c r="AM667" s="86">
        <v>417342</v>
      </c>
    </row>
    <row r="668" spans="13:39" hidden="1">
      <c r="M668" s="131">
        <v>93780</v>
      </c>
      <c r="N668" s="223">
        <v>494324</v>
      </c>
      <c r="O668" s="132" t="s">
        <v>244</v>
      </c>
      <c r="P668" s="132" t="s">
        <v>245</v>
      </c>
      <c r="Q668" s="133">
        <v>341</v>
      </c>
      <c r="R668" s="132" t="s">
        <v>279</v>
      </c>
      <c r="S668" s="132" t="s">
        <v>11</v>
      </c>
      <c r="T668" s="134">
        <v>42246</v>
      </c>
      <c r="U668" s="172">
        <f t="shared" si="40"/>
        <v>2015</v>
      </c>
      <c r="V668" s="172">
        <f t="shared" si="41"/>
        <v>8</v>
      </c>
      <c r="W668" s="44" t="s">
        <v>291</v>
      </c>
      <c r="X668" t="s">
        <v>892</v>
      </c>
      <c r="Y668">
        <v>1</v>
      </c>
      <c r="AA668" s="13">
        <f t="shared" si="39"/>
        <v>93780</v>
      </c>
      <c r="AE668" s="43"/>
      <c r="AL668" s="87" t="s">
        <v>819</v>
      </c>
      <c r="AM668" s="86">
        <v>417689</v>
      </c>
    </row>
    <row r="669" spans="13:39" hidden="1">
      <c r="M669" s="131">
        <v>93900</v>
      </c>
      <c r="N669" s="223">
        <v>493828</v>
      </c>
      <c r="O669" s="132" t="s">
        <v>244</v>
      </c>
      <c r="P669" s="132" t="s">
        <v>245</v>
      </c>
      <c r="Q669" s="133">
        <v>284</v>
      </c>
      <c r="R669" s="132" t="s">
        <v>279</v>
      </c>
      <c r="S669" s="132" t="s">
        <v>11</v>
      </c>
      <c r="T669" s="134">
        <v>42246</v>
      </c>
      <c r="U669" s="172">
        <f t="shared" si="40"/>
        <v>2015</v>
      </c>
      <c r="V669" s="172">
        <f t="shared" si="41"/>
        <v>8</v>
      </c>
      <c r="W669" s="44" t="s">
        <v>291</v>
      </c>
      <c r="X669" t="s">
        <v>892</v>
      </c>
      <c r="Y669">
        <v>1</v>
      </c>
      <c r="AA669" s="13">
        <f t="shared" si="39"/>
        <v>93900</v>
      </c>
      <c r="AE669" s="43"/>
      <c r="AL669" s="87" t="s">
        <v>819</v>
      </c>
      <c r="AM669" s="86">
        <v>417738</v>
      </c>
    </row>
    <row r="670" spans="13:39" hidden="1">
      <c r="M670" s="131">
        <v>93999</v>
      </c>
      <c r="N670" s="223">
        <v>484908</v>
      </c>
      <c r="O670" s="132" t="s">
        <v>244</v>
      </c>
      <c r="P670" s="132" t="s">
        <v>245</v>
      </c>
      <c r="Q670" s="133">
        <v>376</v>
      </c>
      <c r="R670" s="132" t="s">
        <v>279</v>
      </c>
      <c r="S670" s="132" t="s">
        <v>11</v>
      </c>
      <c r="T670" s="134">
        <v>42246</v>
      </c>
      <c r="U670" s="172">
        <f t="shared" si="40"/>
        <v>2015</v>
      </c>
      <c r="V670" s="172">
        <f t="shared" si="41"/>
        <v>8</v>
      </c>
      <c r="W670" s="44" t="s">
        <v>291</v>
      </c>
      <c r="X670" t="s">
        <v>892</v>
      </c>
      <c r="Y670">
        <v>1</v>
      </c>
      <c r="AA670" s="13">
        <f t="shared" si="39"/>
        <v>93999</v>
      </c>
      <c r="AE670" s="43"/>
      <c r="AL670" s="87" t="s">
        <v>819</v>
      </c>
      <c r="AM670" s="86">
        <v>417806</v>
      </c>
    </row>
    <row r="671" spans="13:39" hidden="1">
      <c r="M671" s="131">
        <v>94000</v>
      </c>
      <c r="N671" s="223">
        <v>482430</v>
      </c>
      <c r="O671" s="132" t="s">
        <v>244</v>
      </c>
      <c r="P671" s="132" t="s">
        <v>245</v>
      </c>
      <c r="Q671" s="133">
        <v>223</v>
      </c>
      <c r="R671" s="132" t="s">
        <v>279</v>
      </c>
      <c r="S671" s="132" t="s">
        <v>11</v>
      </c>
      <c r="T671" s="134">
        <v>42246</v>
      </c>
      <c r="U671" s="172">
        <f t="shared" si="40"/>
        <v>2015</v>
      </c>
      <c r="V671" s="172">
        <f t="shared" si="41"/>
        <v>8</v>
      </c>
      <c r="W671" s="44" t="s">
        <v>291</v>
      </c>
      <c r="X671" t="s">
        <v>892</v>
      </c>
      <c r="Y671">
        <v>1</v>
      </c>
      <c r="AA671" s="13">
        <f t="shared" si="39"/>
        <v>94000</v>
      </c>
      <c r="AE671" s="43"/>
      <c r="AL671" s="87" t="s">
        <v>819</v>
      </c>
      <c r="AM671" s="86">
        <v>418618</v>
      </c>
    </row>
    <row r="672" spans="13:39" hidden="1">
      <c r="M672" s="131">
        <v>94000</v>
      </c>
      <c r="N672" s="223">
        <v>485403</v>
      </c>
      <c r="O672" s="132" t="s">
        <v>244</v>
      </c>
      <c r="P672" s="132" t="s">
        <v>245</v>
      </c>
      <c r="Q672" s="133">
        <v>215</v>
      </c>
      <c r="R672" s="132" t="s">
        <v>279</v>
      </c>
      <c r="S672" s="132" t="s">
        <v>11</v>
      </c>
      <c r="T672" s="134">
        <v>42246</v>
      </c>
      <c r="U672" s="172">
        <f t="shared" si="40"/>
        <v>2015</v>
      </c>
      <c r="V672" s="172">
        <f t="shared" si="41"/>
        <v>8</v>
      </c>
      <c r="W672" s="44" t="s">
        <v>291</v>
      </c>
      <c r="X672" t="s">
        <v>892</v>
      </c>
      <c r="Y672">
        <v>1</v>
      </c>
      <c r="AA672" s="13">
        <f t="shared" si="39"/>
        <v>94000</v>
      </c>
      <c r="AE672" s="43"/>
      <c r="AL672" s="87" t="s">
        <v>819</v>
      </c>
      <c r="AM672" s="86">
        <v>41875914</v>
      </c>
    </row>
    <row r="673" spans="13:39" hidden="1">
      <c r="M673" s="131">
        <v>94000</v>
      </c>
      <c r="N673" s="223">
        <v>556034</v>
      </c>
      <c r="O673" s="132" t="s">
        <v>244</v>
      </c>
      <c r="P673" s="132" t="s">
        <v>245</v>
      </c>
      <c r="Q673" s="133">
        <v>1017</v>
      </c>
      <c r="R673" s="132" t="s">
        <v>279</v>
      </c>
      <c r="S673" s="132" t="s">
        <v>11</v>
      </c>
      <c r="T673" s="134">
        <v>42548</v>
      </c>
      <c r="U673" s="172">
        <f t="shared" si="40"/>
        <v>2016</v>
      </c>
      <c r="V673" s="172">
        <f t="shared" si="41"/>
        <v>6</v>
      </c>
      <c r="W673" s="44" t="s">
        <v>280</v>
      </c>
      <c r="X673" t="s">
        <v>892</v>
      </c>
      <c r="Y673">
        <v>1</v>
      </c>
      <c r="AA673" s="13">
        <f t="shared" si="39"/>
        <v>94000</v>
      </c>
      <c r="AE673" s="43"/>
      <c r="AL673" s="87" t="s">
        <v>819</v>
      </c>
      <c r="AM673" s="86">
        <v>4189952</v>
      </c>
    </row>
    <row r="674" spans="13:39" hidden="1">
      <c r="M674" s="131">
        <v>94117</v>
      </c>
      <c r="N674" s="223">
        <v>483916</v>
      </c>
      <c r="O674" s="132" t="s">
        <v>244</v>
      </c>
      <c r="P674" s="132" t="s">
        <v>245</v>
      </c>
      <c r="Q674" s="133">
        <v>65</v>
      </c>
      <c r="R674" s="132" t="s">
        <v>279</v>
      </c>
      <c r="S674" s="132" t="s">
        <v>11</v>
      </c>
      <c r="T674" s="134">
        <v>42246</v>
      </c>
      <c r="U674" s="172">
        <f t="shared" si="40"/>
        <v>2015</v>
      </c>
      <c r="V674" s="172">
        <f t="shared" si="41"/>
        <v>8</v>
      </c>
      <c r="W674" s="44" t="s">
        <v>291</v>
      </c>
      <c r="X674" t="s">
        <v>892</v>
      </c>
      <c r="Y674">
        <v>1</v>
      </c>
      <c r="AA674" s="13">
        <f t="shared" si="39"/>
        <v>94117</v>
      </c>
      <c r="AE674" s="43"/>
      <c r="AL674" s="87" t="s">
        <v>819</v>
      </c>
      <c r="AM674" s="86">
        <v>419026</v>
      </c>
    </row>
    <row r="675" spans="13:39" hidden="1">
      <c r="M675" s="131">
        <v>94222</v>
      </c>
      <c r="N675" s="223">
        <v>490359</v>
      </c>
      <c r="O675" s="132" t="s">
        <v>244</v>
      </c>
      <c r="P675" s="132" t="s">
        <v>245</v>
      </c>
      <c r="Q675" s="133">
        <v>456</v>
      </c>
      <c r="R675" s="132" t="s">
        <v>279</v>
      </c>
      <c r="S675" s="132" t="s">
        <v>11</v>
      </c>
      <c r="T675" s="134">
        <v>42246</v>
      </c>
      <c r="U675" s="172">
        <f t="shared" si="40"/>
        <v>2015</v>
      </c>
      <c r="V675" s="172">
        <f t="shared" si="41"/>
        <v>8</v>
      </c>
      <c r="W675" s="44" t="s">
        <v>291</v>
      </c>
      <c r="X675" t="s">
        <v>892</v>
      </c>
      <c r="Y675">
        <v>1</v>
      </c>
      <c r="AA675" s="13">
        <f t="shared" si="39"/>
        <v>94222</v>
      </c>
      <c r="AE675" s="43"/>
      <c r="AL675" s="87" t="s">
        <v>819</v>
      </c>
      <c r="AM675" s="86">
        <v>419057</v>
      </c>
    </row>
    <row r="676" spans="13:39" hidden="1">
      <c r="M676" s="131">
        <v>94480</v>
      </c>
      <c r="N676" s="223">
        <v>493333</v>
      </c>
      <c r="O676" s="132" t="s">
        <v>244</v>
      </c>
      <c r="P676" s="132" t="s">
        <v>245</v>
      </c>
      <c r="Q676" s="133">
        <v>402</v>
      </c>
      <c r="R676" s="132" t="s">
        <v>279</v>
      </c>
      <c r="S676" s="132" t="s">
        <v>11</v>
      </c>
      <c r="T676" s="134">
        <v>42246</v>
      </c>
      <c r="U676" s="172">
        <f t="shared" si="40"/>
        <v>2015</v>
      </c>
      <c r="V676" s="172">
        <f t="shared" si="41"/>
        <v>8</v>
      </c>
      <c r="W676" s="44" t="s">
        <v>291</v>
      </c>
      <c r="X676" t="s">
        <v>892</v>
      </c>
      <c r="Y676">
        <v>1</v>
      </c>
      <c r="AA676" s="13">
        <f t="shared" si="39"/>
        <v>94480</v>
      </c>
      <c r="AE676" s="43"/>
      <c r="AL676" s="87" t="s">
        <v>819</v>
      </c>
      <c r="AM676" s="86">
        <v>41997176</v>
      </c>
    </row>
    <row r="677" spans="13:39" hidden="1">
      <c r="M677" s="131">
        <v>94555</v>
      </c>
      <c r="N677" s="223">
        <v>540087</v>
      </c>
      <c r="O677" s="132" t="s">
        <v>244</v>
      </c>
      <c r="P677" s="132" t="s">
        <v>245</v>
      </c>
      <c r="Q677" s="133">
        <v>1116</v>
      </c>
      <c r="R677" s="132" t="s">
        <v>279</v>
      </c>
      <c r="S677" s="132" t="s">
        <v>11</v>
      </c>
      <c r="T677" s="134">
        <v>42548</v>
      </c>
      <c r="U677" s="172">
        <f t="shared" si="40"/>
        <v>2016</v>
      </c>
      <c r="V677" s="172">
        <f t="shared" si="41"/>
        <v>6</v>
      </c>
      <c r="W677" s="44" t="s">
        <v>280</v>
      </c>
      <c r="X677" t="s">
        <v>892</v>
      </c>
      <c r="Y677">
        <v>1</v>
      </c>
      <c r="AA677" s="13">
        <f t="shared" si="39"/>
        <v>94555</v>
      </c>
      <c r="AE677" s="43"/>
      <c r="AL677" s="87" t="s">
        <v>819</v>
      </c>
      <c r="AM677" s="86">
        <v>420201</v>
      </c>
    </row>
    <row r="678" spans="13:39" hidden="1">
      <c r="M678" s="131">
        <v>94588</v>
      </c>
      <c r="N678" s="223">
        <v>489386</v>
      </c>
      <c r="O678" s="132" t="s">
        <v>244</v>
      </c>
      <c r="P678" s="132" t="s">
        <v>245</v>
      </c>
      <c r="Q678" s="133">
        <v>463</v>
      </c>
      <c r="R678" s="132" t="s">
        <v>279</v>
      </c>
      <c r="S678" s="132" t="s">
        <v>11</v>
      </c>
      <c r="T678" s="134">
        <v>42246</v>
      </c>
      <c r="U678" s="172">
        <f t="shared" si="40"/>
        <v>2015</v>
      </c>
      <c r="V678" s="172">
        <f t="shared" si="41"/>
        <v>8</v>
      </c>
      <c r="W678" s="44" t="s">
        <v>291</v>
      </c>
      <c r="X678" t="s">
        <v>892</v>
      </c>
      <c r="Y678">
        <v>1</v>
      </c>
      <c r="AA678" s="13">
        <f t="shared" si="39"/>
        <v>94588</v>
      </c>
      <c r="AE678" s="43"/>
      <c r="AL678" s="87" t="s">
        <v>819</v>
      </c>
      <c r="AM678" s="86">
        <v>420201</v>
      </c>
    </row>
    <row r="679" spans="13:39" hidden="1">
      <c r="M679" s="131">
        <v>95000</v>
      </c>
      <c r="N679" s="223">
        <v>479456</v>
      </c>
      <c r="O679" s="132" t="s">
        <v>244</v>
      </c>
      <c r="P679" s="132" t="s">
        <v>245</v>
      </c>
      <c r="Q679" s="133">
        <v>37</v>
      </c>
      <c r="R679" s="132" t="s">
        <v>279</v>
      </c>
      <c r="S679" s="132" t="s">
        <v>11</v>
      </c>
      <c r="T679" s="134">
        <v>42246</v>
      </c>
      <c r="U679" s="172">
        <f t="shared" si="40"/>
        <v>2015</v>
      </c>
      <c r="V679" s="172">
        <f t="shared" si="41"/>
        <v>8</v>
      </c>
      <c r="W679" s="44" t="s">
        <v>291</v>
      </c>
      <c r="X679" t="s">
        <v>892</v>
      </c>
      <c r="Y679">
        <v>1</v>
      </c>
      <c r="AA679" s="13">
        <f t="shared" si="39"/>
        <v>95000</v>
      </c>
      <c r="AE679" s="43"/>
      <c r="AL679" s="87" t="s">
        <v>819</v>
      </c>
      <c r="AM679" s="86">
        <v>420201</v>
      </c>
    </row>
    <row r="680" spans="13:39" hidden="1">
      <c r="M680" s="131">
        <v>95000</v>
      </c>
      <c r="N680" s="223">
        <v>481934</v>
      </c>
      <c r="O680" s="132" t="s">
        <v>244</v>
      </c>
      <c r="P680" s="132" t="s">
        <v>245</v>
      </c>
      <c r="Q680" s="133">
        <v>69</v>
      </c>
      <c r="R680" s="132" t="s">
        <v>279</v>
      </c>
      <c r="S680" s="132" t="s">
        <v>11</v>
      </c>
      <c r="T680" s="134">
        <v>42246</v>
      </c>
      <c r="U680" s="172">
        <f t="shared" si="40"/>
        <v>2015</v>
      </c>
      <c r="V680" s="172">
        <f t="shared" si="41"/>
        <v>8</v>
      </c>
      <c r="W680" s="44" t="s">
        <v>291</v>
      </c>
      <c r="X680" t="s">
        <v>892</v>
      </c>
      <c r="Y680">
        <v>1</v>
      </c>
      <c r="AA680" s="13">
        <f t="shared" si="39"/>
        <v>95000</v>
      </c>
      <c r="AE680" s="43"/>
      <c r="AL680" s="87" t="s">
        <v>819</v>
      </c>
      <c r="AM680" s="86">
        <v>420201</v>
      </c>
    </row>
    <row r="681" spans="13:39" hidden="1">
      <c r="M681" s="131">
        <v>95000</v>
      </c>
      <c r="N681" s="223">
        <v>484413</v>
      </c>
      <c r="O681" s="132" t="s">
        <v>244</v>
      </c>
      <c r="P681" s="132" t="s">
        <v>245</v>
      </c>
      <c r="Q681" s="133">
        <v>35</v>
      </c>
      <c r="R681" s="132" t="s">
        <v>279</v>
      </c>
      <c r="S681" s="132" t="s">
        <v>11</v>
      </c>
      <c r="T681" s="134">
        <v>42246</v>
      </c>
      <c r="U681" s="172">
        <f t="shared" si="40"/>
        <v>2015</v>
      </c>
      <c r="V681" s="172">
        <f t="shared" si="41"/>
        <v>8</v>
      </c>
      <c r="W681" s="44" t="s">
        <v>291</v>
      </c>
      <c r="X681" t="s">
        <v>892</v>
      </c>
      <c r="Y681">
        <v>1</v>
      </c>
      <c r="AA681" s="13">
        <f t="shared" si="39"/>
        <v>95000</v>
      </c>
      <c r="AE681" s="43"/>
      <c r="AL681" s="87" t="s">
        <v>819</v>
      </c>
      <c r="AM681" s="86">
        <v>420201</v>
      </c>
    </row>
    <row r="682" spans="13:39" hidden="1">
      <c r="M682" s="131">
        <v>95000</v>
      </c>
      <c r="N682" s="223">
        <v>507210</v>
      </c>
      <c r="O682" s="132" t="s">
        <v>244</v>
      </c>
      <c r="P682" s="132" t="s">
        <v>245</v>
      </c>
      <c r="Q682" s="133">
        <v>117</v>
      </c>
      <c r="R682" s="132" t="s">
        <v>279</v>
      </c>
      <c r="S682" s="132" t="s">
        <v>11</v>
      </c>
      <c r="T682" s="134">
        <v>42246</v>
      </c>
      <c r="U682" s="172">
        <f t="shared" si="40"/>
        <v>2015</v>
      </c>
      <c r="V682" s="172">
        <f t="shared" si="41"/>
        <v>8</v>
      </c>
      <c r="W682" s="44" t="s">
        <v>291</v>
      </c>
      <c r="X682" t="s">
        <v>892</v>
      </c>
      <c r="Y682">
        <v>1</v>
      </c>
      <c r="AA682" s="13">
        <f t="shared" si="39"/>
        <v>95000</v>
      </c>
      <c r="AE682" s="43"/>
      <c r="AL682" s="87" t="s">
        <v>819</v>
      </c>
      <c r="AM682" s="86">
        <v>420201</v>
      </c>
    </row>
    <row r="683" spans="13:39" hidden="1">
      <c r="M683" s="131">
        <v>95000</v>
      </c>
      <c r="N683" s="223">
        <v>556034</v>
      </c>
      <c r="O683" s="132" t="s">
        <v>244</v>
      </c>
      <c r="P683" s="132" t="s">
        <v>245</v>
      </c>
      <c r="Q683" s="133">
        <v>1050</v>
      </c>
      <c r="R683" s="132" t="s">
        <v>279</v>
      </c>
      <c r="S683" s="132" t="s">
        <v>11</v>
      </c>
      <c r="T683" s="134">
        <v>42548</v>
      </c>
      <c r="U683" s="172">
        <f t="shared" si="40"/>
        <v>2016</v>
      </c>
      <c r="V683" s="172">
        <f t="shared" si="41"/>
        <v>6</v>
      </c>
      <c r="W683" s="44" t="s">
        <v>280</v>
      </c>
      <c r="X683" t="s">
        <v>892</v>
      </c>
      <c r="Y683">
        <v>1</v>
      </c>
      <c r="AA683" s="13">
        <f t="shared" si="39"/>
        <v>95000</v>
      </c>
      <c r="AE683" s="43"/>
      <c r="AL683" s="87" t="s">
        <v>819</v>
      </c>
      <c r="AM683" s="86">
        <v>420247</v>
      </c>
    </row>
    <row r="684" spans="13:39" hidden="1">
      <c r="M684" s="131">
        <v>95000</v>
      </c>
      <c r="N684" s="223">
        <v>560021</v>
      </c>
      <c r="O684" s="132" t="s">
        <v>244</v>
      </c>
      <c r="P684" s="132" t="s">
        <v>245</v>
      </c>
      <c r="Q684" s="133">
        <v>1125</v>
      </c>
      <c r="R684" s="132" t="s">
        <v>279</v>
      </c>
      <c r="S684" s="132" t="s">
        <v>11</v>
      </c>
      <c r="T684" s="134">
        <v>42548</v>
      </c>
      <c r="U684" s="172">
        <f t="shared" si="40"/>
        <v>2016</v>
      </c>
      <c r="V684" s="172">
        <f t="shared" si="41"/>
        <v>6</v>
      </c>
      <c r="W684" s="44" t="s">
        <v>280</v>
      </c>
      <c r="X684" t="s">
        <v>892</v>
      </c>
      <c r="Y684">
        <v>1</v>
      </c>
      <c r="AA684" s="13">
        <f t="shared" si="39"/>
        <v>95000</v>
      </c>
      <c r="AE684" s="43"/>
      <c r="AL684" s="87" t="s">
        <v>819</v>
      </c>
      <c r="AM684" s="86">
        <v>420247</v>
      </c>
    </row>
    <row r="685" spans="13:39" hidden="1">
      <c r="M685" s="131">
        <v>95488</v>
      </c>
      <c r="N685" s="223">
        <v>530323</v>
      </c>
      <c r="O685" s="132" t="s">
        <v>244</v>
      </c>
      <c r="P685" s="132" t="s">
        <v>245</v>
      </c>
      <c r="Q685" s="133">
        <v>676</v>
      </c>
      <c r="R685" s="132" t="s">
        <v>279</v>
      </c>
      <c r="S685" s="132" t="s">
        <v>11</v>
      </c>
      <c r="T685" s="134">
        <v>42246</v>
      </c>
      <c r="U685" s="172">
        <f t="shared" si="40"/>
        <v>2015</v>
      </c>
      <c r="V685" s="172">
        <f t="shared" si="41"/>
        <v>8</v>
      </c>
      <c r="W685" s="44" t="s">
        <v>291</v>
      </c>
      <c r="X685" t="s">
        <v>892</v>
      </c>
      <c r="Y685">
        <v>1</v>
      </c>
      <c r="AA685" s="13">
        <f t="shared" si="39"/>
        <v>95488</v>
      </c>
      <c r="AE685" s="43"/>
      <c r="AL685" s="87" t="s">
        <v>819</v>
      </c>
      <c r="AM685" s="86">
        <v>420247</v>
      </c>
    </row>
    <row r="686" spans="13:39" hidden="1">
      <c r="M686" s="131">
        <v>95555</v>
      </c>
      <c r="N686" s="223">
        <v>488377</v>
      </c>
      <c r="O686" s="132" t="s">
        <v>244</v>
      </c>
      <c r="P686" s="132" t="s">
        <v>245</v>
      </c>
      <c r="Q686" s="133">
        <v>124</v>
      </c>
      <c r="R686" s="132" t="s">
        <v>279</v>
      </c>
      <c r="S686" s="132" t="s">
        <v>11</v>
      </c>
      <c r="T686" s="134">
        <v>42246</v>
      </c>
      <c r="U686" s="172">
        <f t="shared" si="40"/>
        <v>2015</v>
      </c>
      <c r="V686" s="172">
        <f t="shared" si="41"/>
        <v>8</v>
      </c>
      <c r="W686" s="44" t="s">
        <v>291</v>
      </c>
      <c r="X686" t="s">
        <v>892</v>
      </c>
      <c r="Y686">
        <v>1</v>
      </c>
      <c r="AA686" s="13">
        <f t="shared" si="39"/>
        <v>95555</v>
      </c>
      <c r="AE686" s="43"/>
      <c r="AL686" s="87" t="s">
        <v>819</v>
      </c>
      <c r="AM686" s="86">
        <v>420247</v>
      </c>
    </row>
    <row r="687" spans="13:39" hidden="1">
      <c r="M687" s="131">
        <v>95555</v>
      </c>
      <c r="N687" s="223">
        <v>488873</v>
      </c>
      <c r="O687" s="132" t="s">
        <v>244</v>
      </c>
      <c r="P687" s="132" t="s">
        <v>245</v>
      </c>
      <c r="Q687" s="133">
        <v>225</v>
      </c>
      <c r="R687" s="132" t="s">
        <v>279</v>
      </c>
      <c r="S687" s="132" t="s">
        <v>11</v>
      </c>
      <c r="T687" s="134">
        <v>42246</v>
      </c>
      <c r="U687" s="172">
        <f t="shared" si="40"/>
        <v>2015</v>
      </c>
      <c r="V687" s="172">
        <f t="shared" si="41"/>
        <v>8</v>
      </c>
      <c r="W687" s="44" t="s">
        <v>291</v>
      </c>
      <c r="X687" t="s">
        <v>892</v>
      </c>
      <c r="Y687">
        <v>1</v>
      </c>
      <c r="AA687" s="13">
        <f t="shared" si="39"/>
        <v>95555</v>
      </c>
      <c r="AE687" s="43"/>
      <c r="AL687" s="87" t="s">
        <v>819</v>
      </c>
      <c r="AM687" s="86">
        <v>420247</v>
      </c>
    </row>
    <row r="688" spans="13:39" hidden="1">
      <c r="M688" s="131">
        <v>95600</v>
      </c>
      <c r="N688" s="223">
        <v>478174</v>
      </c>
      <c r="O688" s="132" t="s">
        <v>244</v>
      </c>
      <c r="P688" s="132" t="s">
        <v>245</v>
      </c>
      <c r="Q688" s="133">
        <v>1369</v>
      </c>
      <c r="R688" s="132" t="s">
        <v>279</v>
      </c>
      <c r="S688" s="132" t="s">
        <v>11</v>
      </c>
      <c r="T688" s="134">
        <v>42548</v>
      </c>
      <c r="U688" s="172">
        <f t="shared" si="40"/>
        <v>2016</v>
      </c>
      <c r="V688" s="172">
        <f t="shared" si="41"/>
        <v>6</v>
      </c>
      <c r="W688" s="44" t="s">
        <v>280</v>
      </c>
      <c r="X688" t="s">
        <v>892</v>
      </c>
      <c r="Y688">
        <v>1</v>
      </c>
      <c r="AA688" s="13">
        <f t="shared" si="39"/>
        <v>95600</v>
      </c>
      <c r="AE688" s="43"/>
      <c r="AL688" s="87" t="s">
        <v>819</v>
      </c>
      <c r="AM688" s="86">
        <v>420247</v>
      </c>
    </row>
    <row r="689" spans="13:39" hidden="1">
      <c r="M689" s="131">
        <v>95720</v>
      </c>
      <c r="N689" s="223">
        <v>493828</v>
      </c>
      <c r="O689" s="132" t="s">
        <v>244</v>
      </c>
      <c r="P689" s="132" t="s">
        <v>245</v>
      </c>
      <c r="Q689" s="133">
        <v>446</v>
      </c>
      <c r="R689" s="132" t="s">
        <v>279</v>
      </c>
      <c r="S689" s="132" t="s">
        <v>11</v>
      </c>
      <c r="T689" s="134">
        <v>42246</v>
      </c>
      <c r="U689" s="172">
        <f t="shared" si="40"/>
        <v>2015</v>
      </c>
      <c r="V689" s="172">
        <f t="shared" si="41"/>
        <v>8</v>
      </c>
      <c r="W689" s="44" t="s">
        <v>291</v>
      </c>
      <c r="X689" t="s">
        <v>892</v>
      </c>
      <c r="Y689">
        <v>1</v>
      </c>
      <c r="AA689" s="13">
        <f t="shared" si="39"/>
        <v>95720</v>
      </c>
      <c r="AE689" s="43"/>
      <c r="AL689" s="87" t="s">
        <v>819</v>
      </c>
      <c r="AM689" s="86">
        <v>420247</v>
      </c>
    </row>
    <row r="690" spans="13:39" hidden="1">
      <c r="M690" s="131">
        <v>95720</v>
      </c>
      <c r="N690" s="223">
        <v>554324</v>
      </c>
      <c r="O690" s="132" t="s">
        <v>244</v>
      </c>
      <c r="P690" s="132" t="s">
        <v>245</v>
      </c>
      <c r="Q690" s="133">
        <v>186</v>
      </c>
      <c r="R690" s="132" t="s">
        <v>279</v>
      </c>
      <c r="S690" s="132" t="s">
        <v>11</v>
      </c>
      <c r="T690" s="134">
        <v>42548</v>
      </c>
      <c r="U690" s="172">
        <f t="shared" si="40"/>
        <v>2016</v>
      </c>
      <c r="V690" s="172">
        <f t="shared" si="41"/>
        <v>6</v>
      </c>
      <c r="W690" s="44" t="s">
        <v>280</v>
      </c>
      <c r="X690" t="s">
        <v>892</v>
      </c>
      <c r="Y690">
        <v>1</v>
      </c>
      <c r="AA690" s="13">
        <f t="shared" si="39"/>
        <v>95720</v>
      </c>
      <c r="AE690" s="43"/>
      <c r="AL690" s="87" t="s">
        <v>819</v>
      </c>
      <c r="AM690" s="86">
        <v>420247</v>
      </c>
    </row>
    <row r="691" spans="13:39" hidden="1">
      <c r="M691" s="131">
        <v>95876</v>
      </c>
      <c r="N691" s="223">
        <v>493828</v>
      </c>
      <c r="O691" s="132" t="s">
        <v>244</v>
      </c>
      <c r="P691" s="132" t="s">
        <v>245</v>
      </c>
      <c r="Q691" s="133">
        <v>432</v>
      </c>
      <c r="R691" s="132" t="s">
        <v>279</v>
      </c>
      <c r="S691" s="132" t="s">
        <v>11</v>
      </c>
      <c r="T691" s="134">
        <v>42246</v>
      </c>
      <c r="U691" s="172">
        <f t="shared" si="40"/>
        <v>2015</v>
      </c>
      <c r="V691" s="172">
        <f t="shared" si="41"/>
        <v>8</v>
      </c>
      <c r="W691" s="44" t="s">
        <v>291</v>
      </c>
      <c r="X691" t="s">
        <v>892</v>
      </c>
      <c r="Y691">
        <v>1</v>
      </c>
      <c r="AA691" s="13">
        <f t="shared" si="39"/>
        <v>95876</v>
      </c>
      <c r="AE691" s="43"/>
      <c r="AL691" s="87" t="s">
        <v>819</v>
      </c>
      <c r="AM691" s="86">
        <v>420377</v>
      </c>
    </row>
    <row r="692" spans="13:39" hidden="1">
      <c r="M692" s="131">
        <v>95948</v>
      </c>
      <c r="N692" s="223">
        <v>539517</v>
      </c>
      <c r="O692" s="132" t="s">
        <v>244</v>
      </c>
      <c r="P692" s="132" t="s">
        <v>245</v>
      </c>
      <c r="Q692" s="133">
        <v>1031</v>
      </c>
      <c r="R692" s="132" t="s">
        <v>279</v>
      </c>
      <c r="S692" s="132" t="s">
        <v>11</v>
      </c>
      <c r="T692" s="134">
        <v>42548</v>
      </c>
      <c r="U692" s="172">
        <f t="shared" si="40"/>
        <v>2016</v>
      </c>
      <c r="V692" s="172">
        <f t="shared" si="41"/>
        <v>6</v>
      </c>
      <c r="W692" s="44" t="s">
        <v>280</v>
      </c>
      <c r="X692" t="s">
        <v>892</v>
      </c>
      <c r="Y692">
        <v>1</v>
      </c>
      <c r="AA692" s="13">
        <f t="shared" si="39"/>
        <v>95948</v>
      </c>
      <c r="AE692" s="43"/>
      <c r="AL692" s="87" t="s">
        <v>819</v>
      </c>
      <c r="AM692" s="86">
        <v>420377</v>
      </c>
    </row>
    <row r="693" spans="13:39" hidden="1">
      <c r="M693" s="131">
        <v>96500</v>
      </c>
      <c r="N693" s="223">
        <v>481439</v>
      </c>
      <c r="O693" s="132" t="s">
        <v>244</v>
      </c>
      <c r="P693" s="132" t="s">
        <v>245</v>
      </c>
      <c r="Q693" s="133">
        <v>148</v>
      </c>
      <c r="R693" s="132" t="s">
        <v>279</v>
      </c>
      <c r="S693" s="132" t="s">
        <v>11</v>
      </c>
      <c r="T693" s="134">
        <v>42246</v>
      </c>
      <c r="U693" s="172">
        <f t="shared" si="40"/>
        <v>2015</v>
      </c>
      <c r="V693" s="172">
        <f t="shared" si="41"/>
        <v>8</v>
      </c>
      <c r="W693" s="44" t="s">
        <v>291</v>
      </c>
      <c r="X693" t="s">
        <v>892</v>
      </c>
      <c r="Y693">
        <v>1</v>
      </c>
      <c r="AA693" s="13">
        <f t="shared" si="39"/>
        <v>96500</v>
      </c>
      <c r="AE693" s="43"/>
      <c r="AL693" s="87" t="s">
        <v>819</v>
      </c>
      <c r="AM693" s="86">
        <v>420816</v>
      </c>
    </row>
    <row r="694" spans="13:39" hidden="1">
      <c r="M694" s="131">
        <v>96550</v>
      </c>
      <c r="N694" s="223">
        <v>555464</v>
      </c>
      <c r="O694" s="132" t="s">
        <v>244</v>
      </c>
      <c r="P694" s="132" t="s">
        <v>245</v>
      </c>
      <c r="Q694" s="133">
        <v>375</v>
      </c>
      <c r="R694" s="132" t="s">
        <v>279</v>
      </c>
      <c r="S694" s="132" t="s">
        <v>11</v>
      </c>
      <c r="T694" s="134">
        <v>42548</v>
      </c>
      <c r="U694" s="172">
        <f t="shared" si="40"/>
        <v>2016</v>
      </c>
      <c r="V694" s="172">
        <f t="shared" si="41"/>
        <v>6</v>
      </c>
      <c r="W694" s="44" t="s">
        <v>280</v>
      </c>
      <c r="X694" t="s">
        <v>892</v>
      </c>
      <c r="Y694">
        <v>1</v>
      </c>
      <c r="AA694" s="13">
        <f t="shared" si="39"/>
        <v>96550</v>
      </c>
      <c r="AE694" s="43"/>
      <c r="AL694" s="87" t="s">
        <v>819</v>
      </c>
      <c r="AM694" s="86">
        <v>420906</v>
      </c>
    </row>
    <row r="695" spans="13:39" hidden="1">
      <c r="M695" s="131">
        <v>96777</v>
      </c>
      <c r="N695" s="223">
        <v>546921</v>
      </c>
      <c r="O695" s="132" t="s">
        <v>244</v>
      </c>
      <c r="P695" s="132" t="s">
        <v>245</v>
      </c>
      <c r="Q695" s="133">
        <v>1420</v>
      </c>
      <c r="R695" s="132" t="s">
        <v>279</v>
      </c>
      <c r="S695" s="132" t="s">
        <v>11</v>
      </c>
      <c r="T695" s="134">
        <v>42548</v>
      </c>
      <c r="U695" s="172">
        <f t="shared" si="40"/>
        <v>2016</v>
      </c>
      <c r="V695" s="172">
        <f t="shared" si="41"/>
        <v>6</v>
      </c>
      <c r="W695" s="44" t="s">
        <v>280</v>
      </c>
      <c r="X695" t="s">
        <v>892</v>
      </c>
      <c r="Y695">
        <v>1</v>
      </c>
      <c r="AA695" s="13">
        <f t="shared" si="39"/>
        <v>96777</v>
      </c>
      <c r="AE695" s="43"/>
      <c r="AL695" s="87" t="s">
        <v>819</v>
      </c>
      <c r="AM695" s="86">
        <v>421111</v>
      </c>
    </row>
    <row r="696" spans="13:39" hidden="1">
      <c r="M696" s="131">
        <v>96968</v>
      </c>
      <c r="N696" s="223">
        <v>474500</v>
      </c>
      <c r="O696" s="132" t="s">
        <v>244</v>
      </c>
      <c r="P696" s="132" t="s">
        <v>245</v>
      </c>
      <c r="Q696" s="133">
        <v>510</v>
      </c>
      <c r="R696" s="132" t="s">
        <v>279</v>
      </c>
      <c r="S696" s="132" t="s">
        <v>11</v>
      </c>
      <c r="T696" s="134">
        <v>42246</v>
      </c>
      <c r="U696" s="172">
        <f t="shared" si="40"/>
        <v>2015</v>
      </c>
      <c r="V696" s="172">
        <f t="shared" si="41"/>
        <v>8</v>
      </c>
      <c r="W696" s="44" t="s">
        <v>291</v>
      </c>
      <c r="X696" t="s">
        <v>892</v>
      </c>
      <c r="Y696">
        <v>1</v>
      </c>
      <c r="AA696" s="13">
        <f t="shared" si="39"/>
        <v>96968</v>
      </c>
      <c r="AE696" s="43"/>
      <c r="AL696" s="87" t="s">
        <v>819</v>
      </c>
      <c r="AM696" s="86">
        <v>421468</v>
      </c>
    </row>
    <row r="697" spans="13:39" hidden="1">
      <c r="M697" s="131">
        <v>97555</v>
      </c>
      <c r="N697" s="223">
        <v>580523</v>
      </c>
      <c r="O697" s="132" t="s">
        <v>244</v>
      </c>
      <c r="P697" s="132" t="s">
        <v>245</v>
      </c>
      <c r="Q697" s="133">
        <v>1026</v>
      </c>
      <c r="R697" s="132" t="s">
        <v>279</v>
      </c>
      <c r="S697" s="132" t="s">
        <v>11</v>
      </c>
      <c r="T697" s="134">
        <v>42548</v>
      </c>
      <c r="U697" s="172">
        <f t="shared" si="40"/>
        <v>2016</v>
      </c>
      <c r="V697" s="172">
        <f t="shared" si="41"/>
        <v>6</v>
      </c>
      <c r="W697" s="44" t="s">
        <v>280</v>
      </c>
      <c r="X697" t="s">
        <v>892</v>
      </c>
      <c r="Y697">
        <v>1</v>
      </c>
      <c r="AA697" s="13">
        <f t="shared" si="39"/>
        <v>97555</v>
      </c>
      <c r="AE697" s="43"/>
      <c r="AL697" s="87" t="s">
        <v>819</v>
      </c>
      <c r="AM697" s="86">
        <v>421468</v>
      </c>
    </row>
    <row r="698" spans="13:39" hidden="1">
      <c r="M698" s="131">
        <v>98300</v>
      </c>
      <c r="N698" s="223">
        <v>564576</v>
      </c>
      <c r="O698" s="132" t="s">
        <v>244</v>
      </c>
      <c r="P698" s="132" t="s">
        <v>245</v>
      </c>
      <c r="Q698" s="133">
        <v>99</v>
      </c>
      <c r="R698" s="132" t="s">
        <v>279</v>
      </c>
      <c r="S698" s="132" t="s">
        <v>11</v>
      </c>
      <c r="T698" s="134">
        <v>42548</v>
      </c>
      <c r="U698" s="172">
        <f t="shared" si="40"/>
        <v>2016</v>
      </c>
      <c r="V698" s="172">
        <f t="shared" si="41"/>
        <v>6</v>
      </c>
      <c r="W698" s="44" t="s">
        <v>280</v>
      </c>
      <c r="X698" t="s">
        <v>892</v>
      </c>
      <c r="Y698">
        <v>1</v>
      </c>
      <c r="AA698" s="13">
        <f t="shared" si="39"/>
        <v>98300</v>
      </c>
      <c r="AE698" s="43"/>
      <c r="AL698" s="87" t="s">
        <v>819</v>
      </c>
      <c r="AM698" s="86">
        <v>422530</v>
      </c>
    </row>
    <row r="699" spans="13:39" hidden="1">
      <c r="M699" s="131">
        <v>98400</v>
      </c>
      <c r="N699" s="223">
        <v>484908</v>
      </c>
      <c r="O699" s="132" t="s">
        <v>244</v>
      </c>
      <c r="P699" s="132" t="s">
        <v>245</v>
      </c>
      <c r="Q699" s="133">
        <v>470</v>
      </c>
      <c r="R699" s="132" t="s">
        <v>279</v>
      </c>
      <c r="S699" s="132" t="s">
        <v>11</v>
      </c>
      <c r="T699" s="134">
        <v>42246</v>
      </c>
      <c r="U699" s="172">
        <f t="shared" si="40"/>
        <v>2015</v>
      </c>
      <c r="V699" s="172">
        <f t="shared" si="41"/>
        <v>8</v>
      </c>
      <c r="W699" s="44" t="s">
        <v>291</v>
      </c>
      <c r="X699" t="s">
        <v>892</v>
      </c>
      <c r="Y699">
        <v>1</v>
      </c>
      <c r="AA699" s="13">
        <f t="shared" si="39"/>
        <v>98400</v>
      </c>
      <c r="AE699" s="43"/>
      <c r="AL699" s="87" t="s">
        <v>819</v>
      </c>
      <c r="AM699" s="86">
        <v>422530</v>
      </c>
    </row>
    <row r="700" spans="13:39" hidden="1">
      <c r="M700" s="131">
        <v>98500</v>
      </c>
      <c r="N700" s="223">
        <v>491350</v>
      </c>
      <c r="O700" s="132" t="s">
        <v>244</v>
      </c>
      <c r="P700" s="132" t="s">
        <v>245</v>
      </c>
      <c r="Q700" s="133">
        <v>454</v>
      </c>
      <c r="R700" s="132" t="s">
        <v>279</v>
      </c>
      <c r="S700" s="132" t="s">
        <v>11</v>
      </c>
      <c r="T700" s="134">
        <v>42246</v>
      </c>
      <c r="U700" s="172">
        <f t="shared" si="40"/>
        <v>2015</v>
      </c>
      <c r="V700" s="172">
        <f t="shared" si="41"/>
        <v>8</v>
      </c>
      <c r="W700" s="44" t="s">
        <v>291</v>
      </c>
      <c r="X700" t="s">
        <v>892</v>
      </c>
      <c r="Y700">
        <v>1</v>
      </c>
      <c r="AA700" s="13">
        <f t="shared" si="39"/>
        <v>98500</v>
      </c>
      <c r="AE700" s="43"/>
      <c r="AL700" s="87" t="s">
        <v>819</v>
      </c>
      <c r="AM700" s="86">
        <v>422689</v>
      </c>
    </row>
    <row r="701" spans="13:39" hidden="1">
      <c r="M701" s="131">
        <v>99000</v>
      </c>
      <c r="N701" s="223">
        <v>470201</v>
      </c>
      <c r="O701" s="132" t="s">
        <v>244</v>
      </c>
      <c r="P701" s="132" t="s">
        <v>245</v>
      </c>
      <c r="Q701" s="133">
        <v>1172</v>
      </c>
      <c r="R701" s="132" t="s">
        <v>279</v>
      </c>
      <c r="S701" s="132" t="s">
        <v>11</v>
      </c>
      <c r="T701" s="134">
        <v>42548</v>
      </c>
      <c r="U701" s="172">
        <f t="shared" si="40"/>
        <v>2016</v>
      </c>
      <c r="V701" s="172">
        <f t="shared" si="41"/>
        <v>6</v>
      </c>
      <c r="W701" s="44" t="s">
        <v>280</v>
      </c>
      <c r="X701" t="s">
        <v>892</v>
      </c>
      <c r="Y701">
        <v>1</v>
      </c>
      <c r="AA701" s="13">
        <f t="shared" si="39"/>
        <v>99000</v>
      </c>
      <c r="AE701" s="43"/>
      <c r="AL701" s="87" t="s">
        <v>819</v>
      </c>
      <c r="AM701" s="86">
        <v>422689</v>
      </c>
    </row>
    <row r="702" spans="13:39" hidden="1">
      <c r="M702" s="131">
        <v>99501</v>
      </c>
      <c r="N702" s="223">
        <v>487385</v>
      </c>
      <c r="O702" s="132" t="s">
        <v>244</v>
      </c>
      <c r="P702" s="132" t="s">
        <v>245</v>
      </c>
      <c r="Q702" s="133">
        <v>94</v>
      </c>
      <c r="R702" s="132" t="s">
        <v>279</v>
      </c>
      <c r="S702" s="132" t="s">
        <v>11</v>
      </c>
      <c r="T702" s="134">
        <v>42246</v>
      </c>
      <c r="U702" s="172">
        <f t="shared" si="40"/>
        <v>2015</v>
      </c>
      <c r="V702" s="172">
        <f t="shared" si="41"/>
        <v>8</v>
      </c>
      <c r="W702" s="44" t="s">
        <v>291</v>
      </c>
      <c r="X702" t="s">
        <v>892</v>
      </c>
      <c r="Y702">
        <v>1</v>
      </c>
      <c r="AA702" s="13">
        <f t="shared" si="39"/>
        <v>99501</v>
      </c>
      <c r="AE702" s="43"/>
      <c r="AL702" s="87" t="s">
        <v>819</v>
      </c>
      <c r="AM702" s="86">
        <v>422689</v>
      </c>
    </row>
    <row r="703" spans="13:39" hidden="1">
      <c r="M703" s="131">
        <v>99555</v>
      </c>
      <c r="N703" s="223">
        <v>455962</v>
      </c>
      <c r="O703" s="132" t="s">
        <v>244</v>
      </c>
      <c r="P703" s="132" t="s">
        <v>245</v>
      </c>
      <c r="Q703" s="133">
        <v>1191</v>
      </c>
      <c r="R703" s="132" t="s">
        <v>279</v>
      </c>
      <c r="S703" s="132" t="s">
        <v>11</v>
      </c>
      <c r="T703" s="134">
        <v>42548</v>
      </c>
      <c r="U703" s="172">
        <f t="shared" si="40"/>
        <v>2016</v>
      </c>
      <c r="V703" s="172">
        <f t="shared" si="41"/>
        <v>6</v>
      </c>
      <c r="W703" s="44" t="s">
        <v>280</v>
      </c>
      <c r="X703" t="s">
        <v>892</v>
      </c>
      <c r="Y703">
        <v>1</v>
      </c>
      <c r="AA703" s="13">
        <f t="shared" si="39"/>
        <v>99555</v>
      </c>
      <c r="AE703" s="43"/>
      <c r="AL703" s="87" t="s">
        <v>819</v>
      </c>
      <c r="AM703" s="86">
        <v>423608</v>
      </c>
    </row>
    <row r="704" spans="13:39" hidden="1">
      <c r="M704" s="131">
        <v>99570</v>
      </c>
      <c r="N704" s="223">
        <v>514458</v>
      </c>
      <c r="O704" s="132" t="s">
        <v>244</v>
      </c>
      <c r="P704" s="132" t="s">
        <v>245</v>
      </c>
      <c r="Q704" s="133">
        <v>1267</v>
      </c>
      <c r="R704" s="132" t="s">
        <v>279</v>
      </c>
      <c r="S704" s="132" t="s">
        <v>11</v>
      </c>
      <c r="T704" s="134">
        <v>42548</v>
      </c>
      <c r="U704" s="172">
        <f t="shared" si="40"/>
        <v>2016</v>
      </c>
      <c r="V704" s="172">
        <f t="shared" si="41"/>
        <v>6</v>
      </c>
      <c r="W704" s="44" t="s">
        <v>280</v>
      </c>
      <c r="X704" t="s">
        <v>892</v>
      </c>
      <c r="Y704">
        <v>1</v>
      </c>
      <c r="AA704" s="13">
        <f t="shared" si="39"/>
        <v>99570</v>
      </c>
      <c r="AE704" s="43"/>
      <c r="AL704" s="87" t="s">
        <v>819</v>
      </c>
      <c r="AM704" s="86">
        <v>423910</v>
      </c>
    </row>
    <row r="705" spans="13:39" hidden="1">
      <c r="M705" s="131">
        <v>99999</v>
      </c>
      <c r="N705" s="223">
        <v>542364</v>
      </c>
      <c r="O705" s="132" t="s">
        <v>244</v>
      </c>
      <c r="P705" s="132" t="s">
        <v>245</v>
      </c>
      <c r="Q705" s="133">
        <v>1429</v>
      </c>
      <c r="R705" s="132" t="s">
        <v>279</v>
      </c>
      <c r="S705" s="132" t="s">
        <v>11</v>
      </c>
      <c r="T705" s="134">
        <v>42548</v>
      </c>
      <c r="U705" s="172">
        <f t="shared" si="40"/>
        <v>2016</v>
      </c>
      <c r="V705" s="172">
        <f t="shared" si="41"/>
        <v>6</v>
      </c>
      <c r="W705" s="44" t="s">
        <v>280</v>
      </c>
      <c r="X705" t="s">
        <v>892</v>
      </c>
      <c r="Y705">
        <v>1</v>
      </c>
      <c r="AA705" s="13">
        <f t="shared" si="39"/>
        <v>99999</v>
      </c>
      <c r="AE705" s="43"/>
      <c r="AL705" s="87" t="s">
        <v>819</v>
      </c>
      <c r="AM705" s="86">
        <v>423913</v>
      </c>
    </row>
    <row r="706" spans="13:39" hidden="1">
      <c r="M706" s="131">
        <v>100000</v>
      </c>
      <c r="N706" s="223">
        <v>456533</v>
      </c>
      <c r="O706" s="132" t="s">
        <v>244</v>
      </c>
      <c r="P706" s="132" t="s">
        <v>245</v>
      </c>
      <c r="Q706" s="133">
        <v>1133</v>
      </c>
      <c r="R706" s="132" t="s">
        <v>279</v>
      </c>
      <c r="S706" s="132" t="s">
        <v>11</v>
      </c>
      <c r="T706" s="134">
        <v>42548</v>
      </c>
      <c r="U706" s="172">
        <f t="shared" si="40"/>
        <v>2016</v>
      </c>
      <c r="V706" s="172">
        <f t="shared" si="41"/>
        <v>6</v>
      </c>
      <c r="W706" s="44" t="s">
        <v>280</v>
      </c>
      <c r="X706" t="s">
        <v>892</v>
      </c>
      <c r="Y706">
        <v>1</v>
      </c>
      <c r="AA706" s="13">
        <f t="shared" si="39"/>
        <v>100000</v>
      </c>
      <c r="AE706" s="43"/>
      <c r="AL706" s="87" t="s">
        <v>819</v>
      </c>
      <c r="AM706" s="86">
        <v>424334</v>
      </c>
    </row>
    <row r="707" spans="13:39" hidden="1">
      <c r="M707" s="131">
        <v>100000</v>
      </c>
      <c r="N707" s="223">
        <v>490854</v>
      </c>
      <c r="O707" s="132" t="s">
        <v>244</v>
      </c>
      <c r="P707" s="132" t="s">
        <v>245</v>
      </c>
      <c r="Q707" s="133">
        <v>531</v>
      </c>
      <c r="R707" s="132" t="s">
        <v>279</v>
      </c>
      <c r="S707" s="132" t="s">
        <v>11</v>
      </c>
      <c r="T707" s="134">
        <v>42246</v>
      </c>
      <c r="U707" s="172">
        <f t="shared" si="40"/>
        <v>2015</v>
      </c>
      <c r="V707" s="172">
        <f t="shared" si="41"/>
        <v>8</v>
      </c>
      <c r="W707" s="44" t="s">
        <v>291</v>
      </c>
      <c r="X707" t="s">
        <v>892</v>
      </c>
      <c r="Y707">
        <v>1</v>
      </c>
      <c r="AA707" s="13">
        <f t="shared" si="39"/>
        <v>100000</v>
      </c>
      <c r="AE707" s="43"/>
      <c r="AL707" s="87" t="s">
        <v>819</v>
      </c>
      <c r="AM707" s="86">
        <v>424567</v>
      </c>
    </row>
    <row r="708" spans="13:39" hidden="1">
      <c r="M708" s="131">
        <v>100000</v>
      </c>
      <c r="N708" s="223">
        <v>543504</v>
      </c>
      <c r="O708" s="132" t="s">
        <v>244</v>
      </c>
      <c r="P708" s="132" t="s">
        <v>245</v>
      </c>
      <c r="Q708" s="133">
        <v>1140</v>
      </c>
      <c r="R708" s="132" t="s">
        <v>279</v>
      </c>
      <c r="S708" s="132" t="s">
        <v>11</v>
      </c>
      <c r="T708" s="134">
        <v>42548</v>
      </c>
      <c r="U708" s="172">
        <f t="shared" si="40"/>
        <v>2016</v>
      </c>
      <c r="V708" s="172">
        <f t="shared" si="41"/>
        <v>6</v>
      </c>
      <c r="W708" s="44" t="s">
        <v>280</v>
      </c>
      <c r="X708" t="s">
        <v>892</v>
      </c>
      <c r="Y708">
        <v>1</v>
      </c>
      <c r="AA708" s="13">
        <f t="shared" ref="AA708:AA771" si="42">IF(M708&lt;30000,Y708*100*M708*(1-$L$1)-$L$2*Y708,M708)</f>
        <v>100000</v>
      </c>
      <c r="AE708" s="43"/>
      <c r="AL708" s="87" t="s">
        <v>819</v>
      </c>
      <c r="AM708" s="86">
        <v>425130</v>
      </c>
    </row>
    <row r="709" spans="13:39" hidden="1">
      <c r="M709" s="131">
        <v>100000</v>
      </c>
      <c r="N709" s="223">
        <v>548839</v>
      </c>
      <c r="O709" s="132" t="s">
        <v>244</v>
      </c>
      <c r="P709" s="132" t="s">
        <v>245</v>
      </c>
      <c r="Q709" s="133">
        <v>342</v>
      </c>
      <c r="R709" s="132" t="s">
        <v>279</v>
      </c>
      <c r="S709" s="132" t="s">
        <v>11</v>
      </c>
      <c r="T709" s="134">
        <v>42246</v>
      </c>
      <c r="U709" s="172">
        <f t="shared" si="40"/>
        <v>2015</v>
      </c>
      <c r="V709" s="172">
        <f t="shared" si="41"/>
        <v>8</v>
      </c>
      <c r="W709" s="44" t="s">
        <v>291</v>
      </c>
      <c r="X709" t="s">
        <v>892</v>
      </c>
      <c r="Y709">
        <v>1</v>
      </c>
      <c r="AA709" s="13">
        <f t="shared" si="42"/>
        <v>100000</v>
      </c>
      <c r="AE709" s="43"/>
      <c r="AL709" s="87" t="s">
        <v>819</v>
      </c>
      <c r="AM709" s="86">
        <v>426351</v>
      </c>
    </row>
    <row r="710" spans="13:39" hidden="1">
      <c r="M710" s="131">
        <v>100000</v>
      </c>
      <c r="N710" s="223">
        <v>556034</v>
      </c>
      <c r="O710" s="132" t="s">
        <v>244</v>
      </c>
      <c r="P710" s="132" t="s">
        <v>245</v>
      </c>
      <c r="Q710" s="133">
        <v>1337</v>
      </c>
      <c r="R710" s="132" t="s">
        <v>279</v>
      </c>
      <c r="S710" s="132" t="s">
        <v>11</v>
      </c>
      <c r="T710" s="134">
        <v>42548</v>
      </c>
      <c r="U710" s="172">
        <f t="shared" si="40"/>
        <v>2016</v>
      </c>
      <c r="V710" s="172">
        <f t="shared" si="41"/>
        <v>6</v>
      </c>
      <c r="W710" s="44" t="s">
        <v>280</v>
      </c>
      <c r="X710" t="s">
        <v>892</v>
      </c>
      <c r="Y710">
        <v>1</v>
      </c>
      <c r="AA710" s="13">
        <f t="shared" si="42"/>
        <v>100000</v>
      </c>
      <c r="AE710" s="43"/>
      <c r="AL710" s="87" t="s">
        <v>819</v>
      </c>
      <c r="AM710" s="86">
        <v>426351</v>
      </c>
    </row>
    <row r="711" spans="13:39" hidden="1">
      <c r="M711" s="131">
        <v>100000</v>
      </c>
      <c r="N711" s="223">
        <v>569435</v>
      </c>
      <c r="O711" s="132" t="s">
        <v>244</v>
      </c>
      <c r="P711" s="132" t="s">
        <v>245</v>
      </c>
      <c r="Q711" s="133">
        <v>1302</v>
      </c>
      <c r="R711" s="132" t="s">
        <v>279</v>
      </c>
      <c r="S711" s="132" t="s">
        <v>11</v>
      </c>
      <c r="T711" s="134">
        <v>42548</v>
      </c>
      <c r="U711" s="172">
        <f t="shared" ref="U711:U774" si="43">YEAR($T711)</f>
        <v>2016</v>
      </c>
      <c r="V711" s="172">
        <f t="shared" ref="V711:V774" si="44">MONTH($T711)</f>
        <v>6</v>
      </c>
      <c r="W711" s="44" t="s">
        <v>280</v>
      </c>
      <c r="X711" t="s">
        <v>892</v>
      </c>
      <c r="Y711">
        <v>1</v>
      </c>
      <c r="AA711" s="13">
        <f t="shared" si="42"/>
        <v>100000</v>
      </c>
      <c r="AE711" s="43"/>
      <c r="AL711" s="87" t="s">
        <v>819</v>
      </c>
      <c r="AM711" s="86">
        <v>426351</v>
      </c>
    </row>
    <row r="712" spans="13:39" hidden="1">
      <c r="M712" s="131">
        <v>100018</v>
      </c>
      <c r="N712" s="223">
        <v>559450</v>
      </c>
      <c r="O712" s="132" t="s">
        <v>244</v>
      </c>
      <c r="P712" s="132" t="s">
        <v>245</v>
      </c>
      <c r="Q712" s="133">
        <v>477</v>
      </c>
      <c r="R712" s="132" t="s">
        <v>279</v>
      </c>
      <c r="S712" s="132" t="s">
        <v>11</v>
      </c>
      <c r="T712" s="134">
        <v>42548</v>
      </c>
      <c r="U712" s="172">
        <f t="shared" si="43"/>
        <v>2016</v>
      </c>
      <c r="V712" s="172">
        <f t="shared" si="44"/>
        <v>6</v>
      </c>
      <c r="W712" s="44" t="s">
        <v>280</v>
      </c>
      <c r="X712" t="s">
        <v>892</v>
      </c>
      <c r="Y712">
        <v>1</v>
      </c>
      <c r="AA712" s="13">
        <f t="shared" si="42"/>
        <v>100018</v>
      </c>
      <c r="AE712" s="43"/>
      <c r="AL712" s="87" t="s">
        <v>819</v>
      </c>
      <c r="AM712" s="86">
        <v>427572</v>
      </c>
    </row>
    <row r="713" spans="13:39" hidden="1">
      <c r="M713" s="131">
        <v>100018</v>
      </c>
      <c r="N713" s="223">
        <v>569702</v>
      </c>
      <c r="O713" s="132" t="s">
        <v>244</v>
      </c>
      <c r="P713" s="132" t="s">
        <v>245</v>
      </c>
      <c r="Q713" s="133">
        <v>68</v>
      </c>
      <c r="R713" s="132" t="s">
        <v>279</v>
      </c>
      <c r="S713" s="132" t="s">
        <v>11</v>
      </c>
      <c r="T713" s="134">
        <v>42548</v>
      </c>
      <c r="U713" s="172">
        <f t="shared" si="43"/>
        <v>2016</v>
      </c>
      <c r="V713" s="172">
        <f t="shared" si="44"/>
        <v>6</v>
      </c>
      <c r="W713" s="44" t="s">
        <v>280</v>
      </c>
      <c r="X713" t="s">
        <v>892</v>
      </c>
      <c r="Y713">
        <v>1</v>
      </c>
      <c r="AA713" s="13">
        <f t="shared" si="42"/>
        <v>100018</v>
      </c>
      <c r="AE713" s="43"/>
      <c r="AL713" s="87" t="s">
        <v>819</v>
      </c>
      <c r="AM713" s="86">
        <v>427852</v>
      </c>
    </row>
    <row r="714" spans="13:39" hidden="1">
      <c r="M714" s="131">
        <v>100500</v>
      </c>
      <c r="N714" s="223">
        <v>562299</v>
      </c>
      <c r="O714" s="132" t="s">
        <v>244</v>
      </c>
      <c r="P714" s="132" t="s">
        <v>245</v>
      </c>
      <c r="Q714" s="133">
        <v>1457</v>
      </c>
      <c r="R714" s="132" t="s">
        <v>279</v>
      </c>
      <c r="S714" s="132" t="s">
        <v>11</v>
      </c>
      <c r="T714" s="134">
        <v>42548</v>
      </c>
      <c r="U714" s="172">
        <f t="shared" si="43"/>
        <v>2016</v>
      </c>
      <c r="V714" s="172">
        <f t="shared" si="44"/>
        <v>6</v>
      </c>
      <c r="W714" s="44" t="s">
        <v>280</v>
      </c>
      <c r="X714" t="s">
        <v>892</v>
      </c>
      <c r="Y714">
        <v>1</v>
      </c>
      <c r="AA714" s="13">
        <f t="shared" si="42"/>
        <v>100500</v>
      </c>
      <c r="AE714" s="43"/>
      <c r="AL714" s="87" t="s">
        <v>819</v>
      </c>
      <c r="AM714" s="86">
        <v>428379</v>
      </c>
    </row>
    <row r="715" spans="13:39" hidden="1">
      <c r="M715" s="131">
        <v>100500</v>
      </c>
      <c r="N715" s="223">
        <v>573689</v>
      </c>
      <c r="O715" s="132" t="s">
        <v>244</v>
      </c>
      <c r="P715" s="132" t="s">
        <v>245</v>
      </c>
      <c r="Q715" s="133">
        <v>1348</v>
      </c>
      <c r="R715" s="132" t="s">
        <v>279</v>
      </c>
      <c r="S715" s="132" t="s">
        <v>11</v>
      </c>
      <c r="T715" s="134">
        <v>42548</v>
      </c>
      <c r="U715" s="172">
        <f t="shared" si="43"/>
        <v>2016</v>
      </c>
      <c r="V715" s="172">
        <f t="shared" si="44"/>
        <v>6</v>
      </c>
      <c r="W715" s="44" t="s">
        <v>280</v>
      </c>
      <c r="X715" t="s">
        <v>892</v>
      </c>
      <c r="Y715">
        <v>1</v>
      </c>
      <c r="AA715" s="13">
        <f t="shared" si="42"/>
        <v>100500</v>
      </c>
      <c r="AE715" s="43"/>
      <c r="AL715" s="87" t="s">
        <v>819</v>
      </c>
      <c r="AM715" s="86">
        <v>428793</v>
      </c>
    </row>
    <row r="716" spans="13:39" hidden="1">
      <c r="M716" s="131">
        <v>100555</v>
      </c>
      <c r="N716" s="223">
        <v>557173</v>
      </c>
      <c r="O716" s="132" t="s">
        <v>244</v>
      </c>
      <c r="P716" s="132" t="s">
        <v>245</v>
      </c>
      <c r="Q716" s="133">
        <v>1288</v>
      </c>
      <c r="R716" s="132" t="s">
        <v>279</v>
      </c>
      <c r="S716" s="132" t="s">
        <v>11</v>
      </c>
      <c r="T716" s="134">
        <v>42548</v>
      </c>
      <c r="U716" s="172">
        <f t="shared" si="43"/>
        <v>2016</v>
      </c>
      <c r="V716" s="172">
        <f t="shared" si="44"/>
        <v>6</v>
      </c>
      <c r="W716" s="44" t="s">
        <v>280</v>
      </c>
      <c r="X716" t="s">
        <v>892</v>
      </c>
      <c r="Y716">
        <v>1</v>
      </c>
      <c r="AA716" s="13">
        <f t="shared" si="42"/>
        <v>100555</v>
      </c>
      <c r="AE716" s="43"/>
      <c r="AL716" s="87" t="s">
        <v>819</v>
      </c>
      <c r="AM716" s="86">
        <v>428822</v>
      </c>
    </row>
    <row r="717" spans="13:39" hidden="1">
      <c r="M717" s="131">
        <v>101000</v>
      </c>
      <c r="N717" s="223">
        <v>474500</v>
      </c>
      <c r="O717" s="132" t="s">
        <v>244</v>
      </c>
      <c r="P717" s="132" t="s">
        <v>245</v>
      </c>
      <c r="Q717" s="133">
        <v>509</v>
      </c>
      <c r="R717" s="132" t="s">
        <v>279</v>
      </c>
      <c r="S717" s="132" t="s">
        <v>11</v>
      </c>
      <c r="T717" s="134">
        <v>42246</v>
      </c>
      <c r="U717" s="172">
        <f t="shared" si="43"/>
        <v>2015</v>
      </c>
      <c r="V717" s="172">
        <f t="shared" si="44"/>
        <v>8</v>
      </c>
      <c r="W717" s="44" t="s">
        <v>291</v>
      </c>
      <c r="X717" t="s">
        <v>892</v>
      </c>
      <c r="Y717">
        <v>1</v>
      </c>
      <c r="AA717" s="13">
        <f t="shared" si="42"/>
        <v>101000</v>
      </c>
      <c r="AE717" s="43"/>
      <c r="AL717" s="87" t="s">
        <v>819</v>
      </c>
      <c r="AM717" s="86">
        <v>429042</v>
      </c>
    </row>
    <row r="718" spans="13:39" hidden="1">
      <c r="M718" s="131">
        <v>101000</v>
      </c>
      <c r="N718" s="223">
        <v>476482</v>
      </c>
      <c r="O718" s="132" t="s">
        <v>244</v>
      </c>
      <c r="P718" s="132" t="s">
        <v>245</v>
      </c>
      <c r="Q718" s="133">
        <v>398</v>
      </c>
      <c r="R718" s="132" t="s">
        <v>279</v>
      </c>
      <c r="S718" s="132" t="s">
        <v>11</v>
      </c>
      <c r="T718" s="134">
        <v>42246</v>
      </c>
      <c r="U718" s="172">
        <f t="shared" si="43"/>
        <v>2015</v>
      </c>
      <c r="V718" s="172">
        <f t="shared" si="44"/>
        <v>8</v>
      </c>
      <c r="W718" s="44" t="s">
        <v>291</v>
      </c>
      <c r="X718" t="s">
        <v>892</v>
      </c>
      <c r="Y718">
        <v>1</v>
      </c>
      <c r="AA718" s="13">
        <f t="shared" si="42"/>
        <v>101000</v>
      </c>
      <c r="AE718" s="43"/>
      <c r="AL718" s="87" t="s">
        <v>819</v>
      </c>
      <c r="AM718" s="86">
        <v>429610</v>
      </c>
    </row>
    <row r="719" spans="13:39" hidden="1">
      <c r="M719" s="131">
        <v>101000</v>
      </c>
      <c r="N719" s="223">
        <v>479456</v>
      </c>
      <c r="O719" s="132" t="s">
        <v>244</v>
      </c>
      <c r="P719" s="132" t="s">
        <v>245</v>
      </c>
      <c r="Q719" s="133">
        <v>233</v>
      </c>
      <c r="R719" s="132" t="s">
        <v>279</v>
      </c>
      <c r="S719" s="132" t="s">
        <v>11</v>
      </c>
      <c r="T719" s="134">
        <v>42246</v>
      </c>
      <c r="U719" s="172">
        <f t="shared" si="43"/>
        <v>2015</v>
      </c>
      <c r="V719" s="172">
        <f t="shared" si="44"/>
        <v>8</v>
      </c>
      <c r="W719" s="44" t="s">
        <v>291</v>
      </c>
      <c r="X719" t="s">
        <v>892</v>
      </c>
      <c r="Y719">
        <v>1</v>
      </c>
      <c r="AA719" s="13">
        <f t="shared" si="42"/>
        <v>101000</v>
      </c>
      <c r="AE719" s="43"/>
      <c r="AL719" s="87" t="s">
        <v>819</v>
      </c>
      <c r="AM719" s="86">
        <v>429610</v>
      </c>
    </row>
    <row r="720" spans="13:39" hidden="1">
      <c r="M720" s="131">
        <v>101000</v>
      </c>
      <c r="N720" s="223">
        <v>480447</v>
      </c>
      <c r="O720" s="132" t="s">
        <v>244</v>
      </c>
      <c r="P720" s="132" t="s">
        <v>245</v>
      </c>
      <c r="Q720" s="133">
        <v>123</v>
      </c>
      <c r="R720" s="132" t="s">
        <v>279</v>
      </c>
      <c r="S720" s="132" t="s">
        <v>11</v>
      </c>
      <c r="T720" s="134">
        <v>42246</v>
      </c>
      <c r="U720" s="172">
        <f t="shared" si="43"/>
        <v>2015</v>
      </c>
      <c r="V720" s="172">
        <f t="shared" si="44"/>
        <v>8</v>
      </c>
      <c r="W720" s="44" t="s">
        <v>291</v>
      </c>
      <c r="X720" t="s">
        <v>892</v>
      </c>
      <c r="Y720">
        <v>1</v>
      </c>
      <c r="AA720" s="13">
        <f t="shared" si="42"/>
        <v>101000</v>
      </c>
      <c r="AE720" s="43"/>
      <c r="AL720" s="87" t="s">
        <v>819</v>
      </c>
      <c r="AM720" s="86">
        <v>429705</v>
      </c>
    </row>
    <row r="721" spans="13:39" hidden="1">
      <c r="M721" s="131">
        <v>101000</v>
      </c>
      <c r="N721" s="223">
        <v>480447</v>
      </c>
      <c r="O721" s="132" t="s">
        <v>244</v>
      </c>
      <c r="P721" s="132" t="s">
        <v>245</v>
      </c>
      <c r="Q721" s="133">
        <v>232</v>
      </c>
      <c r="R721" s="132" t="s">
        <v>279</v>
      </c>
      <c r="S721" s="132" t="s">
        <v>11</v>
      </c>
      <c r="T721" s="134">
        <v>42246</v>
      </c>
      <c r="U721" s="172">
        <f t="shared" si="43"/>
        <v>2015</v>
      </c>
      <c r="V721" s="172">
        <f t="shared" si="44"/>
        <v>8</v>
      </c>
      <c r="W721" s="44" t="s">
        <v>291</v>
      </c>
      <c r="X721" t="s">
        <v>892</v>
      </c>
      <c r="Y721">
        <v>1</v>
      </c>
      <c r="AA721" s="13">
        <f t="shared" si="42"/>
        <v>101000</v>
      </c>
      <c r="AE721" s="43"/>
      <c r="AL721" s="87" t="s">
        <v>819</v>
      </c>
      <c r="AM721" s="86">
        <v>430014</v>
      </c>
    </row>
    <row r="722" spans="13:39" hidden="1">
      <c r="M722" s="131">
        <v>101000</v>
      </c>
      <c r="N722" s="223">
        <v>486394</v>
      </c>
      <c r="O722" s="132" t="s">
        <v>244</v>
      </c>
      <c r="P722" s="132" t="s">
        <v>245</v>
      </c>
      <c r="Q722" s="133">
        <v>271</v>
      </c>
      <c r="R722" s="132" t="s">
        <v>279</v>
      </c>
      <c r="S722" s="132" t="s">
        <v>11</v>
      </c>
      <c r="T722" s="134">
        <v>42246</v>
      </c>
      <c r="U722" s="172">
        <f t="shared" si="43"/>
        <v>2015</v>
      </c>
      <c r="V722" s="172">
        <f t="shared" si="44"/>
        <v>8</v>
      </c>
      <c r="W722" s="44" t="s">
        <v>291</v>
      </c>
      <c r="X722" t="s">
        <v>892</v>
      </c>
      <c r="Y722">
        <v>1</v>
      </c>
      <c r="AA722" s="13">
        <f t="shared" si="42"/>
        <v>101000</v>
      </c>
      <c r="AE722" s="43"/>
      <c r="AL722" s="87" t="s">
        <v>819</v>
      </c>
      <c r="AM722" s="86">
        <v>430306</v>
      </c>
    </row>
    <row r="723" spans="13:39" hidden="1">
      <c r="M723" s="131">
        <v>101000</v>
      </c>
      <c r="N723" s="223">
        <v>492837</v>
      </c>
      <c r="O723" s="132" t="s">
        <v>244</v>
      </c>
      <c r="P723" s="132" t="s">
        <v>245</v>
      </c>
      <c r="Q723" s="133">
        <v>114</v>
      </c>
      <c r="R723" s="132" t="s">
        <v>279</v>
      </c>
      <c r="S723" s="132" t="s">
        <v>11</v>
      </c>
      <c r="T723" s="134">
        <v>42246</v>
      </c>
      <c r="U723" s="172">
        <f t="shared" si="43"/>
        <v>2015</v>
      </c>
      <c r="V723" s="172">
        <f t="shared" si="44"/>
        <v>8</v>
      </c>
      <c r="W723" s="44" t="s">
        <v>291</v>
      </c>
      <c r="X723" t="s">
        <v>892</v>
      </c>
      <c r="Y723">
        <v>1</v>
      </c>
      <c r="AA723" s="13">
        <f t="shared" si="42"/>
        <v>101000</v>
      </c>
      <c r="AE723" s="43"/>
      <c r="AL723" s="87" t="s">
        <v>819</v>
      </c>
      <c r="AM723" s="86">
        <v>430306</v>
      </c>
    </row>
    <row r="724" spans="13:39" hidden="1">
      <c r="M724" s="131">
        <v>101000</v>
      </c>
      <c r="N724" s="223">
        <v>516166</v>
      </c>
      <c r="O724" s="132" t="s">
        <v>244</v>
      </c>
      <c r="P724" s="132" t="s">
        <v>245</v>
      </c>
      <c r="Q724" s="133">
        <v>1541</v>
      </c>
      <c r="R724" s="132" t="s">
        <v>279</v>
      </c>
      <c r="S724" s="132" t="s">
        <v>11</v>
      </c>
      <c r="T724" s="134">
        <v>42548</v>
      </c>
      <c r="U724" s="172">
        <f t="shared" si="43"/>
        <v>2016</v>
      </c>
      <c r="V724" s="172">
        <f t="shared" si="44"/>
        <v>6</v>
      </c>
      <c r="W724" s="44" t="s">
        <v>280</v>
      </c>
      <c r="X724" t="s">
        <v>892</v>
      </c>
      <c r="Y724">
        <v>1</v>
      </c>
      <c r="AA724" s="13">
        <f t="shared" si="42"/>
        <v>101000</v>
      </c>
      <c r="AE724" s="43"/>
      <c r="AL724" s="87" t="s">
        <v>819</v>
      </c>
      <c r="AM724" s="86">
        <v>430306</v>
      </c>
    </row>
    <row r="725" spans="13:39" hidden="1">
      <c r="M725" s="131">
        <v>101000</v>
      </c>
      <c r="N725" s="223">
        <v>545782</v>
      </c>
      <c r="O725" s="132" t="s">
        <v>244</v>
      </c>
      <c r="P725" s="132" t="s">
        <v>245</v>
      </c>
      <c r="Q725" s="133">
        <v>1358</v>
      </c>
      <c r="R725" s="132" t="s">
        <v>279</v>
      </c>
      <c r="S725" s="132" t="s">
        <v>11</v>
      </c>
      <c r="T725" s="134">
        <v>42548</v>
      </c>
      <c r="U725" s="172">
        <f t="shared" si="43"/>
        <v>2016</v>
      </c>
      <c r="V725" s="172">
        <f t="shared" si="44"/>
        <v>6</v>
      </c>
      <c r="W725" s="44" t="s">
        <v>280</v>
      </c>
      <c r="X725" t="s">
        <v>892</v>
      </c>
      <c r="Y725">
        <v>1</v>
      </c>
      <c r="AA725" s="13">
        <f t="shared" si="42"/>
        <v>101000</v>
      </c>
      <c r="AE725" s="43"/>
      <c r="AL725" s="87" t="s">
        <v>819</v>
      </c>
      <c r="AM725" s="86">
        <v>430306</v>
      </c>
    </row>
    <row r="726" spans="13:39" hidden="1">
      <c r="M726" s="131">
        <v>101000</v>
      </c>
      <c r="N726" s="223">
        <v>546351</v>
      </c>
      <c r="O726" s="132" t="s">
        <v>244</v>
      </c>
      <c r="P726" s="132" t="s">
        <v>245</v>
      </c>
      <c r="Q726" s="133">
        <v>1216</v>
      </c>
      <c r="R726" s="132" t="s">
        <v>279</v>
      </c>
      <c r="S726" s="132" t="s">
        <v>11</v>
      </c>
      <c r="T726" s="134">
        <v>42548</v>
      </c>
      <c r="U726" s="172">
        <f t="shared" si="43"/>
        <v>2016</v>
      </c>
      <c r="V726" s="172">
        <f t="shared" si="44"/>
        <v>6</v>
      </c>
      <c r="W726" s="44" t="s">
        <v>280</v>
      </c>
      <c r="X726" t="s">
        <v>892</v>
      </c>
      <c r="Y726">
        <v>1</v>
      </c>
      <c r="AA726" s="13">
        <f t="shared" si="42"/>
        <v>101000</v>
      </c>
      <c r="AE726" s="43"/>
      <c r="AL726" s="87" t="s">
        <v>819</v>
      </c>
      <c r="AM726" s="86">
        <v>430306</v>
      </c>
    </row>
    <row r="727" spans="13:39" hidden="1">
      <c r="M727" s="131">
        <v>101000</v>
      </c>
      <c r="N727" s="223">
        <v>549200</v>
      </c>
      <c r="O727" s="132" t="s">
        <v>244</v>
      </c>
      <c r="P727" s="132" t="s">
        <v>245</v>
      </c>
      <c r="Q727" s="133">
        <v>1324</v>
      </c>
      <c r="R727" s="132" t="s">
        <v>279</v>
      </c>
      <c r="S727" s="132" t="s">
        <v>11</v>
      </c>
      <c r="T727" s="134">
        <v>42548</v>
      </c>
      <c r="U727" s="172">
        <f t="shared" si="43"/>
        <v>2016</v>
      </c>
      <c r="V727" s="172">
        <f t="shared" si="44"/>
        <v>6</v>
      </c>
      <c r="W727" s="44" t="s">
        <v>280</v>
      </c>
      <c r="X727" t="s">
        <v>892</v>
      </c>
      <c r="Y727">
        <v>1</v>
      </c>
      <c r="AA727" s="13">
        <f t="shared" si="42"/>
        <v>101000</v>
      </c>
      <c r="AE727" s="43"/>
      <c r="AL727" s="87" t="s">
        <v>819</v>
      </c>
      <c r="AM727" s="86">
        <v>430306</v>
      </c>
    </row>
    <row r="728" spans="13:39" hidden="1">
      <c r="M728" s="131">
        <v>101018</v>
      </c>
      <c r="N728" s="223">
        <v>479456</v>
      </c>
      <c r="O728" s="132" t="s">
        <v>244</v>
      </c>
      <c r="P728" s="132" t="s">
        <v>245</v>
      </c>
      <c r="Q728" s="133">
        <v>315</v>
      </c>
      <c r="R728" s="132" t="s">
        <v>279</v>
      </c>
      <c r="S728" s="132" t="s">
        <v>11</v>
      </c>
      <c r="T728" s="134">
        <v>42246</v>
      </c>
      <c r="U728" s="172">
        <f t="shared" si="43"/>
        <v>2015</v>
      </c>
      <c r="V728" s="172">
        <f t="shared" si="44"/>
        <v>8</v>
      </c>
      <c r="W728" s="44" t="s">
        <v>291</v>
      </c>
      <c r="X728" t="s">
        <v>892</v>
      </c>
      <c r="Y728">
        <v>1</v>
      </c>
      <c r="AA728" s="13">
        <f t="shared" si="42"/>
        <v>101018</v>
      </c>
      <c r="AE728" s="43"/>
      <c r="AL728" s="87" t="s">
        <v>819</v>
      </c>
      <c r="AM728" s="86">
        <v>430306</v>
      </c>
    </row>
    <row r="729" spans="13:39" hidden="1">
      <c r="M729" s="131">
        <v>101018</v>
      </c>
      <c r="N729" s="223">
        <v>581662</v>
      </c>
      <c r="O729" s="132" t="s">
        <v>244</v>
      </c>
      <c r="P729" s="132" t="s">
        <v>245</v>
      </c>
      <c r="Q729" s="133">
        <v>1340</v>
      </c>
      <c r="R729" s="132" t="s">
        <v>279</v>
      </c>
      <c r="S729" s="132" t="s">
        <v>11</v>
      </c>
      <c r="T729" s="134">
        <v>42548</v>
      </c>
      <c r="U729" s="172">
        <f t="shared" si="43"/>
        <v>2016</v>
      </c>
      <c r="V729" s="172">
        <f t="shared" si="44"/>
        <v>6</v>
      </c>
      <c r="W729" s="44" t="s">
        <v>280</v>
      </c>
      <c r="X729" t="s">
        <v>892</v>
      </c>
      <c r="Y729">
        <v>1</v>
      </c>
      <c r="AA729" s="13">
        <f t="shared" si="42"/>
        <v>101018</v>
      </c>
      <c r="AE729" s="43"/>
      <c r="AL729" s="87" t="s">
        <v>819</v>
      </c>
      <c r="AM729" s="86">
        <v>430511</v>
      </c>
    </row>
    <row r="730" spans="13:39" hidden="1">
      <c r="M730" s="131">
        <v>101026</v>
      </c>
      <c r="N730" s="223">
        <v>542891</v>
      </c>
      <c r="O730" s="132" t="s">
        <v>244</v>
      </c>
      <c r="P730" s="132" t="s">
        <v>245</v>
      </c>
      <c r="Q730" s="133">
        <v>38</v>
      </c>
      <c r="R730" s="132" t="s">
        <v>279</v>
      </c>
      <c r="S730" s="132" t="s">
        <v>11</v>
      </c>
      <c r="T730" s="134">
        <v>42246</v>
      </c>
      <c r="U730" s="172">
        <f t="shared" si="43"/>
        <v>2015</v>
      </c>
      <c r="V730" s="172">
        <f t="shared" si="44"/>
        <v>8</v>
      </c>
      <c r="W730" s="44" t="s">
        <v>291</v>
      </c>
      <c r="X730" t="s">
        <v>892</v>
      </c>
      <c r="Y730">
        <v>1</v>
      </c>
      <c r="AA730" s="13">
        <f t="shared" si="42"/>
        <v>101026</v>
      </c>
      <c r="AE730" s="43"/>
      <c r="AL730" s="87" t="s">
        <v>819</v>
      </c>
      <c r="AM730" s="86">
        <v>431178</v>
      </c>
    </row>
    <row r="731" spans="13:39" hidden="1">
      <c r="M731" s="131">
        <v>101026</v>
      </c>
      <c r="N731" s="223">
        <v>549769</v>
      </c>
      <c r="O731" s="132" t="s">
        <v>244</v>
      </c>
      <c r="P731" s="132" t="s">
        <v>245</v>
      </c>
      <c r="Q731" s="133">
        <v>382</v>
      </c>
      <c r="R731" s="132" t="s">
        <v>279</v>
      </c>
      <c r="S731" s="132" t="s">
        <v>11</v>
      </c>
      <c r="T731" s="134">
        <v>42548</v>
      </c>
      <c r="U731" s="172">
        <f t="shared" si="43"/>
        <v>2016</v>
      </c>
      <c r="V731" s="172">
        <f t="shared" si="44"/>
        <v>6</v>
      </c>
      <c r="W731" s="44" t="s">
        <v>280</v>
      </c>
      <c r="X731" t="s">
        <v>892</v>
      </c>
      <c r="Y731">
        <v>1</v>
      </c>
      <c r="AA731" s="13">
        <f t="shared" si="42"/>
        <v>101026</v>
      </c>
      <c r="AE731" s="43"/>
      <c r="AL731" s="87" t="s">
        <v>819</v>
      </c>
      <c r="AM731" s="86">
        <v>431242</v>
      </c>
    </row>
    <row r="732" spans="13:39" hidden="1">
      <c r="M732" s="131">
        <v>101026</v>
      </c>
      <c r="N732" s="223">
        <v>586788</v>
      </c>
      <c r="O732" s="132" t="s">
        <v>244</v>
      </c>
      <c r="P732" s="132" t="s">
        <v>245</v>
      </c>
      <c r="Q732" s="133">
        <v>353</v>
      </c>
      <c r="R732" s="132" t="s">
        <v>279</v>
      </c>
      <c r="S732" s="132" t="s">
        <v>11</v>
      </c>
      <c r="T732" s="134">
        <v>42548</v>
      </c>
      <c r="U732" s="172">
        <f t="shared" si="43"/>
        <v>2016</v>
      </c>
      <c r="V732" s="172">
        <f t="shared" si="44"/>
        <v>6</v>
      </c>
      <c r="W732" s="44" t="s">
        <v>280</v>
      </c>
      <c r="X732" t="s">
        <v>892</v>
      </c>
      <c r="Y732">
        <v>1</v>
      </c>
      <c r="AA732" s="13">
        <f t="shared" si="42"/>
        <v>101026</v>
      </c>
      <c r="AE732" s="43"/>
      <c r="AL732" s="87" t="s">
        <v>819</v>
      </c>
      <c r="AM732" s="86">
        <v>431242</v>
      </c>
    </row>
    <row r="733" spans="13:39" hidden="1">
      <c r="M733" s="131">
        <v>101100</v>
      </c>
      <c r="N733" s="223">
        <v>579954</v>
      </c>
      <c r="O733" s="132" t="s">
        <v>244</v>
      </c>
      <c r="P733" s="132" t="s">
        <v>245</v>
      </c>
      <c r="Q733" s="133">
        <v>1218</v>
      </c>
      <c r="R733" s="132" t="s">
        <v>279</v>
      </c>
      <c r="S733" s="132" t="s">
        <v>11</v>
      </c>
      <c r="T733" s="134">
        <v>42548</v>
      </c>
      <c r="U733" s="172">
        <f t="shared" si="43"/>
        <v>2016</v>
      </c>
      <c r="V733" s="172">
        <f t="shared" si="44"/>
        <v>6</v>
      </c>
      <c r="W733" s="44" t="s">
        <v>280</v>
      </c>
      <c r="X733" t="s">
        <v>892</v>
      </c>
      <c r="Y733">
        <v>1</v>
      </c>
      <c r="AA733" s="13">
        <f t="shared" si="42"/>
        <v>101100</v>
      </c>
      <c r="AE733" s="43"/>
      <c r="AL733" s="87" t="s">
        <v>819</v>
      </c>
      <c r="AM733" s="86">
        <v>431242</v>
      </c>
    </row>
    <row r="734" spans="13:39" hidden="1">
      <c r="M734" s="131">
        <v>101105</v>
      </c>
      <c r="N734" s="223">
        <v>487385</v>
      </c>
      <c r="O734" s="132" t="s">
        <v>244</v>
      </c>
      <c r="P734" s="132" t="s">
        <v>245</v>
      </c>
      <c r="Q734" s="133">
        <v>153</v>
      </c>
      <c r="R734" s="132" t="s">
        <v>279</v>
      </c>
      <c r="S734" s="132" t="s">
        <v>11</v>
      </c>
      <c r="T734" s="134">
        <v>42246</v>
      </c>
      <c r="U734" s="172">
        <f t="shared" si="43"/>
        <v>2015</v>
      </c>
      <c r="V734" s="172">
        <f t="shared" si="44"/>
        <v>8</v>
      </c>
      <c r="W734" s="44" t="s">
        <v>291</v>
      </c>
      <c r="X734" t="s">
        <v>892</v>
      </c>
      <c r="Y734">
        <v>1</v>
      </c>
      <c r="AA734" s="13">
        <f t="shared" si="42"/>
        <v>101105</v>
      </c>
      <c r="AE734" s="43"/>
      <c r="AL734" s="87" t="s">
        <v>819</v>
      </c>
      <c r="AM734" s="86">
        <v>431242</v>
      </c>
    </row>
    <row r="735" spans="13:39" hidden="1">
      <c r="M735" s="131">
        <v>101200</v>
      </c>
      <c r="N735" s="223">
        <v>555464</v>
      </c>
      <c r="O735" s="132" t="s">
        <v>244</v>
      </c>
      <c r="P735" s="132" t="s">
        <v>245</v>
      </c>
      <c r="Q735" s="133">
        <v>74</v>
      </c>
      <c r="R735" s="132" t="s">
        <v>279</v>
      </c>
      <c r="S735" s="132" t="s">
        <v>11</v>
      </c>
      <c r="T735" s="134">
        <v>42548</v>
      </c>
      <c r="U735" s="172">
        <f t="shared" si="43"/>
        <v>2016</v>
      </c>
      <c r="V735" s="172">
        <f t="shared" si="44"/>
        <v>6</v>
      </c>
      <c r="W735" s="44" t="s">
        <v>280</v>
      </c>
      <c r="X735" t="s">
        <v>892</v>
      </c>
      <c r="Y735">
        <v>1</v>
      </c>
      <c r="AA735" s="13">
        <f t="shared" si="42"/>
        <v>101200</v>
      </c>
      <c r="AE735" s="43"/>
      <c r="AL735" s="87" t="s">
        <v>819</v>
      </c>
      <c r="AM735" s="86">
        <v>431242</v>
      </c>
    </row>
    <row r="736" spans="13:39" hidden="1">
      <c r="M736" s="131">
        <v>101203</v>
      </c>
      <c r="N736" s="223">
        <v>492837</v>
      </c>
      <c r="O736" s="132" t="s">
        <v>244</v>
      </c>
      <c r="P736" s="132" t="s">
        <v>245</v>
      </c>
      <c r="Q736" s="133">
        <v>489</v>
      </c>
      <c r="R736" s="132" t="s">
        <v>279</v>
      </c>
      <c r="S736" s="132" t="s">
        <v>11</v>
      </c>
      <c r="T736" s="134">
        <v>42246</v>
      </c>
      <c r="U736" s="172">
        <f t="shared" si="43"/>
        <v>2015</v>
      </c>
      <c r="V736" s="172">
        <f t="shared" si="44"/>
        <v>8</v>
      </c>
      <c r="W736" s="44" t="s">
        <v>291</v>
      </c>
      <c r="X736" t="s">
        <v>892</v>
      </c>
      <c r="Y736">
        <v>1</v>
      </c>
      <c r="AA736" s="13">
        <f t="shared" si="42"/>
        <v>101203</v>
      </c>
      <c r="AE736" s="43"/>
      <c r="AL736" s="87" t="s">
        <v>819</v>
      </c>
      <c r="AM736" s="86">
        <v>431242</v>
      </c>
    </row>
    <row r="737" spans="13:39" hidden="1">
      <c r="M737" s="131">
        <v>101234</v>
      </c>
      <c r="N737" s="223">
        <v>546351</v>
      </c>
      <c r="O737" s="132" t="s">
        <v>244</v>
      </c>
      <c r="P737" s="132" t="s">
        <v>245</v>
      </c>
      <c r="Q737" s="133">
        <v>1233</v>
      </c>
      <c r="R737" s="132" t="s">
        <v>279</v>
      </c>
      <c r="S737" s="132" t="s">
        <v>11</v>
      </c>
      <c r="T737" s="134">
        <v>42548</v>
      </c>
      <c r="U737" s="172">
        <f t="shared" si="43"/>
        <v>2016</v>
      </c>
      <c r="V737" s="172">
        <f t="shared" si="44"/>
        <v>6</v>
      </c>
      <c r="W737" s="44" t="s">
        <v>280</v>
      </c>
      <c r="X737" t="s">
        <v>892</v>
      </c>
      <c r="Y737">
        <v>1</v>
      </c>
      <c r="AA737" s="13">
        <f t="shared" si="42"/>
        <v>101234</v>
      </c>
      <c r="AE737" s="43"/>
      <c r="AL737" s="87" t="s">
        <v>819</v>
      </c>
      <c r="AM737" s="86">
        <v>431242</v>
      </c>
    </row>
    <row r="738" spans="13:39" hidden="1">
      <c r="M738" s="131">
        <v>101250</v>
      </c>
      <c r="N738" s="223">
        <v>468492</v>
      </c>
      <c r="O738" s="132" t="s">
        <v>244</v>
      </c>
      <c r="P738" s="132" t="s">
        <v>245</v>
      </c>
      <c r="Q738" s="133">
        <v>1402</v>
      </c>
      <c r="R738" s="132" t="s">
        <v>279</v>
      </c>
      <c r="S738" s="132" t="s">
        <v>11</v>
      </c>
      <c r="T738" s="134">
        <v>42548</v>
      </c>
      <c r="U738" s="172">
        <f t="shared" si="43"/>
        <v>2016</v>
      </c>
      <c r="V738" s="172">
        <f t="shared" si="44"/>
        <v>6</v>
      </c>
      <c r="W738" s="44" t="s">
        <v>280</v>
      </c>
      <c r="X738" t="s">
        <v>892</v>
      </c>
      <c r="Y738">
        <v>1</v>
      </c>
      <c r="AA738" s="13">
        <f t="shared" si="42"/>
        <v>101250</v>
      </c>
      <c r="AE738" s="43"/>
      <c r="AL738" s="87" t="s">
        <v>819</v>
      </c>
      <c r="AM738" s="86">
        <v>431242</v>
      </c>
    </row>
    <row r="739" spans="13:39" hidden="1">
      <c r="M739" s="131">
        <v>101400</v>
      </c>
      <c r="N739" s="223">
        <v>493828</v>
      </c>
      <c r="O739" s="132" t="s">
        <v>244</v>
      </c>
      <c r="P739" s="132" t="s">
        <v>245</v>
      </c>
      <c r="Q739" s="133">
        <v>133</v>
      </c>
      <c r="R739" s="132" t="s">
        <v>279</v>
      </c>
      <c r="S739" s="132" t="s">
        <v>11</v>
      </c>
      <c r="T739" s="134">
        <v>42246</v>
      </c>
      <c r="U739" s="172">
        <f t="shared" si="43"/>
        <v>2015</v>
      </c>
      <c r="V739" s="172">
        <f t="shared" si="44"/>
        <v>8</v>
      </c>
      <c r="W739" s="44" t="s">
        <v>291</v>
      </c>
      <c r="X739" t="s">
        <v>892</v>
      </c>
      <c r="Y739">
        <v>1</v>
      </c>
      <c r="AA739" s="13">
        <f t="shared" si="42"/>
        <v>101400</v>
      </c>
      <c r="AE739" s="43"/>
      <c r="AL739" s="87" t="s">
        <v>819</v>
      </c>
      <c r="AM739" s="86">
        <v>431809</v>
      </c>
    </row>
    <row r="740" spans="13:39" hidden="1">
      <c r="M740" s="131">
        <v>101500</v>
      </c>
      <c r="N740" s="223">
        <v>468492</v>
      </c>
      <c r="O740" s="132" t="s">
        <v>244</v>
      </c>
      <c r="P740" s="132" t="s">
        <v>245</v>
      </c>
      <c r="Q740" s="133">
        <v>1143</v>
      </c>
      <c r="R740" s="132" t="s">
        <v>279</v>
      </c>
      <c r="S740" s="132" t="s">
        <v>11</v>
      </c>
      <c r="T740" s="134">
        <v>42548</v>
      </c>
      <c r="U740" s="172">
        <f t="shared" si="43"/>
        <v>2016</v>
      </c>
      <c r="V740" s="172">
        <f t="shared" si="44"/>
        <v>6</v>
      </c>
      <c r="W740" s="44" t="s">
        <v>280</v>
      </c>
      <c r="X740" t="s">
        <v>892</v>
      </c>
      <c r="Y740">
        <v>1</v>
      </c>
      <c r="AA740" s="13">
        <f t="shared" si="42"/>
        <v>101500</v>
      </c>
      <c r="AE740" s="43"/>
      <c r="AL740" s="87" t="s">
        <v>819</v>
      </c>
      <c r="AM740" s="86">
        <v>431809</v>
      </c>
    </row>
    <row r="741" spans="13:39" hidden="1">
      <c r="M741" s="131">
        <v>101500</v>
      </c>
      <c r="N741" s="223">
        <v>475326</v>
      </c>
      <c r="O741" s="132" t="s">
        <v>244</v>
      </c>
      <c r="P741" s="132" t="s">
        <v>245</v>
      </c>
      <c r="Q741" s="133">
        <v>1399</v>
      </c>
      <c r="R741" s="132" t="s">
        <v>279</v>
      </c>
      <c r="S741" s="132" t="s">
        <v>11</v>
      </c>
      <c r="T741" s="134">
        <v>42548</v>
      </c>
      <c r="U741" s="172">
        <f t="shared" si="43"/>
        <v>2016</v>
      </c>
      <c r="V741" s="172">
        <f t="shared" si="44"/>
        <v>6</v>
      </c>
      <c r="W741" s="44" t="s">
        <v>280</v>
      </c>
      <c r="X741" t="s">
        <v>892</v>
      </c>
      <c r="Y741">
        <v>1</v>
      </c>
      <c r="AA741" s="13">
        <f t="shared" si="42"/>
        <v>101500</v>
      </c>
      <c r="AE741" s="43"/>
      <c r="AL741" s="87" t="s">
        <v>819</v>
      </c>
      <c r="AM741" s="86">
        <v>431940</v>
      </c>
    </row>
    <row r="742" spans="13:39" hidden="1">
      <c r="M742" s="131">
        <v>101500</v>
      </c>
      <c r="N742" s="223">
        <v>560021</v>
      </c>
      <c r="O742" s="132" t="s">
        <v>244</v>
      </c>
      <c r="P742" s="132" t="s">
        <v>245</v>
      </c>
      <c r="Q742" s="133">
        <v>1330</v>
      </c>
      <c r="R742" s="132" t="s">
        <v>279</v>
      </c>
      <c r="S742" s="132" t="s">
        <v>11</v>
      </c>
      <c r="T742" s="134">
        <v>42548</v>
      </c>
      <c r="U742" s="172">
        <f t="shared" si="43"/>
        <v>2016</v>
      </c>
      <c r="V742" s="172">
        <f t="shared" si="44"/>
        <v>6</v>
      </c>
      <c r="W742" s="44" t="s">
        <v>280</v>
      </c>
      <c r="X742" t="s">
        <v>892</v>
      </c>
      <c r="Y742">
        <v>1</v>
      </c>
      <c r="AA742" s="13">
        <f t="shared" si="42"/>
        <v>101500</v>
      </c>
      <c r="AE742" s="43"/>
      <c r="AL742" s="87" t="s">
        <v>819</v>
      </c>
      <c r="AM742" s="86">
        <v>432249</v>
      </c>
    </row>
    <row r="743" spans="13:39" hidden="1">
      <c r="M743" s="131">
        <v>101500</v>
      </c>
      <c r="N743" s="223">
        <v>602734</v>
      </c>
      <c r="O743" s="132" t="s">
        <v>244</v>
      </c>
      <c r="P743" s="132" t="s">
        <v>245</v>
      </c>
      <c r="Q743" s="133">
        <v>1178</v>
      </c>
      <c r="R743" s="132" t="s">
        <v>279</v>
      </c>
      <c r="S743" s="132" t="s">
        <v>11</v>
      </c>
      <c r="T743" s="134">
        <v>42548</v>
      </c>
      <c r="U743" s="172">
        <f t="shared" si="43"/>
        <v>2016</v>
      </c>
      <c r="V743" s="172">
        <f t="shared" si="44"/>
        <v>6</v>
      </c>
      <c r="W743" s="44" t="s">
        <v>280</v>
      </c>
      <c r="X743" t="s">
        <v>892</v>
      </c>
      <c r="Y743">
        <v>1</v>
      </c>
      <c r="AA743" s="13">
        <f t="shared" si="42"/>
        <v>101500</v>
      </c>
      <c r="AE743" s="43"/>
      <c r="AL743" s="87" t="s">
        <v>819</v>
      </c>
      <c r="AM743" s="86">
        <v>432455</v>
      </c>
    </row>
    <row r="744" spans="13:39" hidden="1">
      <c r="M744" s="131">
        <v>101555</v>
      </c>
      <c r="N744" s="223">
        <v>539517</v>
      </c>
      <c r="O744" s="132" t="s">
        <v>244</v>
      </c>
      <c r="P744" s="132" t="s">
        <v>245</v>
      </c>
      <c r="Q744" s="133">
        <v>1566</v>
      </c>
      <c r="R744" s="132" t="s">
        <v>279</v>
      </c>
      <c r="S744" s="132" t="s">
        <v>11</v>
      </c>
      <c r="T744" s="134">
        <v>42548</v>
      </c>
      <c r="U744" s="172">
        <f t="shared" si="43"/>
        <v>2016</v>
      </c>
      <c r="V744" s="172">
        <f t="shared" si="44"/>
        <v>6</v>
      </c>
      <c r="W744" s="44" t="s">
        <v>280</v>
      </c>
      <c r="X744" t="s">
        <v>892</v>
      </c>
      <c r="Y744">
        <v>1</v>
      </c>
      <c r="AA744" s="13">
        <f t="shared" si="42"/>
        <v>101555</v>
      </c>
      <c r="AE744" s="43"/>
      <c r="AL744" s="87" t="s">
        <v>819</v>
      </c>
      <c r="AM744" s="86">
        <v>432688</v>
      </c>
    </row>
    <row r="745" spans="13:39" hidden="1">
      <c r="M745" s="131">
        <v>101599</v>
      </c>
      <c r="N745" s="223">
        <v>510182</v>
      </c>
      <c r="O745" s="132" t="s">
        <v>244</v>
      </c>
      <c r="P745" s="132" t="s">
        <v>245</v>
      </c>
      <c r="Q745" s="133">
        <v>309</v>
      </c>
      <c r="R745" s="132" t="s">
        <v>279</v>
      </c>
      <c r="S745" s="132" t="s">
        <v>11</v>
      </c>
      <c r="T745" s="134">
        <v>42246</v>
      </c>
      <c r="U745" s="172">
        <f t="shared" si="43"/>
        <v>2015</v>
      </c>
      <c r="V745" s="172">
        <f t="shared" si="44"/>
        <v>8</v>
      </c>
      <c r="W745" s="44" t="s">
        <v>291</v>
      </c>
      <c r="X745" t="s">
        <v>892</v>
      </c>
      <c r="Y745">
        <v>1</v>
      </c>
      <c r="AA745" s="13">
        <f t="shared" si="42"/>
        <v>101599</v>
      </c>
      <c r="AE745" s="43"/>
      <c r="AL745" s="87" t="s">
        <v>819</v>
      </c>
      <c r="AM745" s="86">
        <v>432688</v>
      </c>
    </row>
    <row r="746" spans="13:39" hidden="1">
      <c r="M746" s="131">
        <v>101626</v>
      </c>
      <c r="N746" s="223">
        <v>479456</v>
      </c>
      <c r="O746" s="132" t="s">
        <v>244</v>
      </c>
      <c r="P746" s="132" t="s">
        <v>245</v>
      </c>
      <c r="Q746" s="133">
        <v>387</v>
      </c>
      <c r="R746" s="132" t="s">
        <v>279</v>
      </c>
      <c r="S746" s="132" t="s">
        <v>11</v>
      </c>
      <c r="T746" s="134">
        <v>42246</v>
      </c>
      <c r="U746" s="172">
        <f t="shared" si="43"/>
        <v>2015</v>
      </c>
      <c r="V746" s="172">
        <f t="shared" si="44"/>
        <v>8</v>
      </c>
      <c r="W746" s="44" t="s">
        <v>291</v>
      </c>
      <c r="X746" t="s">
        <v>892</v>
      </c>
      <c r="Y746">
        <v>1</v>
      </c>
      <c r="AA746" s="13">
        <f t="shared" si="42"/>
        <v>101626</v>
      </c>
      <c r="AE746" s="43"/>
      <c r="AL746" s="87" t="s">
        <v>819</v>
      </c>
      <c r="AM746" s="86">
        <v>432971</v>
      </c>
    </row>
    <row r="747" spans="13:39" hidden="1">
      <c r="M747" s="131">
        <v>101626</v>
      </c>
      <c r="N747" s="223">
        <v>482925</v>
      </c>
      <c r="O747" s="132" t="s">
        <v>244</v>
      </c>
      <c r="P747" s="132" t="s">
        <v>245</v>
      </c>
      <c r="Q747" s="133">
        <v>380</v>
      </c>
      <c r="R747" s="132" t="s">
        <v>279</v>
      </c>
      <c r="S747" s="132" t="s">
        <v>11</v>
      </c>
      <c r="T747" s="134">
        <v>42246</v>
      </c>
      <c r="U747" s="172">
        <f t="shared" si="43"/>
        <v>2015</v>
      </c>
      <c r="V747" s="172">
        <f t="shared" si="44"/>
        <v>8</v>
      </c>
      <c r="W747" s="44" t="s">
        <v>291</v>
      </c>
      <c r="X747" t="s">
        <v>892</v>
      </c>
      <c r="Y747">
        <v>1</v>
      </c>
      <c r="AA747" s="13">
        <f t="shared" si="42"/>
        <v>101626</v>
      </c>
      <c r="AE747" s="43"/>
      <c r="AL747" s="87" t="s">
        <v>819</v>
      </c>
      <c r="AM747" s="86">
        <v>433568</v>
      </c>
    </row>
    <row r="748" spans="13:39" hidden="1">
      <c r="M748" s="131">
        <v>101626</v>
      </c>
      <c r="N748" s="223">
        <v>489864</v>
      </c>
      <c r="O748" s="132" t="s">
        <v>244</v>
      </c>
      <c r="P748" s="132" t="s">
        <v>245</v>
      </c>
      <c r="Q748" s="133">
        <v>403</v>
      </c>
      <c r="R748" s="132" t="s">
        <v>279</v>
      </c>
      <c r="S748" s="132" t="s">
        <v>11</v>
      </c>
      <c r="T748" s="134">
        <v>42246</v>
      </c>
      <c r="U748" s="172">
        <f t="shared" si="43"/>
        <v>2015</v>
      </c>
      <c r="V748" s="172">
        <f t="shared" si="44"/>
        <v>8</v>
      </c>
      <c r="W748" s="44" t="s">
        <v>291</v>
      </c>
      <c r="X748" t="s">
        <v>892</v>
      </c>
      <c r="Y748">
        <v>1</v>
      </c>
      <c r="AA748" s="13">
        <f t="shared" si="42"/>
        <v>101626</v>
      </c>
      <c r="AE748" s="43"/>
      <c r="AL748" s="87" t="s">
        <v>819</v>
      </c>
      <c r="AM748" s="86">
        <v>433568</v>
      </c>
    </row>
    <row r="749" spans="13:39" hidden="1">
      <c r="M749" s="131">
        <v>101740</v>
      </c>
      <c r="N749" s="223">
        <v>573120</v>
      </c>
      <c r="O749" s="132" t="s">
        <v>244</v>
      </c>
      <c r="P749" s="132" t="s">
        <v>245</v>
      </c>
      <c r="Q749" s="133">
        <v>1485</v>
      </c>
      <c r="R749" s="132" t="s">
        <v>279</v>
      </c>
      <c r="S749" s="132" t="s">
        <v>11</v>
      </c>
      <c r="T749" s="134">
        <v>42548</v>
      </c>
      <c r="U749" s="172">
        <f t="shared" si="43"/>
        <v>2016</v>
      </c>
      <c r="V749" s="172">
        <f t="shared" si="44"/>
        <v>6</v>
      </c>
      <c r="W749" s="44" t="s">
        <v>280</v>
      </c>
      <c r="X749" t="s">
        <v>892</v>
      </c>
      <c r="Y749">
        <v>1</v>
      </c>
      <c r="AA749" s="13">
        <f t="shared" si="42"/>
        <v>101740</v>
      </c>
      <c r="AE749" s="43"/>
      <c r="AL749" s="87" t="s">
        <v>819</v>
      </c>
      <c r="AM749" s="86">
        <v>433582</v>
      </c>
    </row>
    <row r="750" spans="13:39" hidden="1">
      <c r="M750" s="131">
        <v>101900</v>
      </c>
      <c r="N750" s="223">
        <v>481439</v>
      </c>
      <c r="O750" s="132" t="s">
        <v>244</v>
      </c>
      <c r="P750" s="132" t="s">
        <v>245</v>
      </c>
      <c r="Q750" s="133">
        <v>273</v>
      </c>
      <c r="R750" s="132" t="s">
        <v>279</v>
      </c>
      <c r="S750" s="132" t="s">
        <v>11</v>
      </c>
      <c r="T750" s="134">
        <v>42246</v>
      </c>
      <c r="U750" s="172">
        <f t="shared" si="43"/>
        <v>2015</v>
      </c>
      <c r="V750" s="172">
        <f t="shared" si="44"/>
        <v>8</v>
      </c>
      <c r="W750" s="44" t="s">
        <v>291</v>
      </c>
      <c r="X750" t="s">
        <v>892</v>
      </c>
      <c r="Y750">
        <v>1</v>
      </c>
      <c r="AA750" s="13">
        <f t="shared" si="42"/>
        <v>101900</v>
      </c>
      <c r="AE750" s="43"/>
      <c r="AL750" s="87" t="s">
        <v>819</v>
      </c>
      <c r="AM750" s="86">
        <v>434887</v>
      </c>
    </row>
    <row r="751" spans="13:39" hidden="1">
      <c r="M751" s="131">
        <v>101900</v>
      </c>
      <c r="N751" s="223">
        <v>483421</v>
      </c>
      <c r="O751" s="132" t="s">
        <v>244</v>
      </c>
      <c r="P751" s="132" t="s">
        <v>245</v>
      </c>
      <c r="Q751" s="133">
        <v>237</v>
      </c>
      <c r="R751" s="132" t="s">
        <v>279</v>
      </c>
      <c r="S751" s="132" t="s">
        <v>11</v>
      </c>
      <c r="T751" s="134">
        <v>42246</v>
      </c>
      <c r="U751" s="172">
        <f t="shared" si="43"/>
        <v>2015</v>
      </c>
      <c r="V751" s="172">
        <f t="shared" si="44"/>
        <v>8</v>
      </c>
      <c r="W751" s="44" t="s">
        <v>291</v>
      </c>
      <c r="X751" t="s">
        <v>892</v>
      </c>
      <c r="Y751">
        <v>1</v>
      </c>
      <c r="AA751" s="13">
        <f t="shared" si="42"/>
        <v>101900</v>
      </c>
      <c r="AE751" s="43"/>
      <c r="AL751" s="87" t="s">
        <v>819</v>
      </c>
      <c r="AM751" s="86">
        <v>434896</v>
      </c>
    </row>
    <row r="752" spans="13:39" hidden="1">
      <c r="M752" s="131">
        <v>101999</v>
      </c>
      <c r="N752" s="223">
        <v>485899</v>
      </c>
      <c r="O752" s="132" t="s">
        <v>244</v>
      </c>
      <c r="P752" s="132" t="s">
        <v>245</v>
      </c>
      <c r="Q752" s="133">
        <v>169</v>
      </c>
      <c r="R752" s="132" t="s">
        <v>279</v>
      </c>
      <c r="S752" s="132" t="s">
        <v>11</v>
      </c>
      <c r="T752" s="134">
        <v>42246</v>
      </c>
      <c r="U752" s="172">
        <f t="shared" si="43"/>
        <v>2015</v>
      </c>
      <c r="V752" s="172">
        <f t="shared" si="44"/>
        <v>8</v>
      </c>
      <c r="W752" s="44" t="s">
        <v>291</v>
      </c>
      <c r="X752" t="s">
        <v>892</v>
      </c>
      <c r="Y752">
        <v>1</v>
      </c>
      <c r="AA752" s="13">
        <f t="shared" si="42"/>
        <v>101999</v>
      </c>
      <c r="AE752" s="43"/>
      <c r="AL752" s="87" t="s">
        <v>819</v>
      </c>
      <c r="AM752" s="86">
        <v>435006</v>
      </c>
    </row>
    <row r="753" spans="13:39" hidden="1">
      <c r="M753" s="131">
        <v>101999</v>
      </c>
      <c r="N753" s="223">
        <v>555464</v>
      </c>
      <c r="O753" s="132" t="s">
        <v>244</v>
      </c>
      <c r="P753" s="132" t="s">
        <v>245</v>
      </c>
      <c r="Q753" s="133">
        <v>378</v>
      </c>
      <c r="R753" s="132" t="s">
        <v>279</v>
      </c>
      <c r="S753" s="132" t="s">
        <v>11</v>
      </c>
      <c r="T753" s="134">
        <v>42548</v>
      </c>
      <c r="U753" s="172">
        <f t="shared" si="43"/>
        <v>2016</v>
      </c>
      <c r="V753" s="172">
        <f t="shared" si="44"/>
        <v>6</v>
      </c>
      <c r="W753" s="44" t="s">
        <v>280</v>
      </c>
      <c r="X753" t="s">
        <v>892</v>
      </c>
      <c r="Y753">
        <v>1</v>
      </c>
      <c r="AA753" s="13">
        <f t="shared" si="42"/>
        <v>101999</v>
      </c>
      <c r="AE753" s="43"/>
      <c r="AL753" s="87" t="s">
        <v>819</v>
      </c>
      <c r="AM753" s="86">
        <v>435006</v>
      </c>
    </row>
    <row r="754" spans="13:39" hidden="1">
      <c r="M754" s="131">
        <v>101999</v>
      </c>
      <c r="N754" s="223">
        <v>565147</v>
      </c>
      <c r="O754" s="132" t="s">
        <v>244</v>
      </c>
      <c r="P754" s="132" t="s">
        <v>245</v>
      </c>
      <c r="Q754" s="133">
        <v>1205</v>
      </c>
      <c r="R754" s="132" t="s">
        <v>279</v>
      </c>
      <c r="S754" s="132" t="s">
        <v>11</v>
      </c>
      <c r="T754" s="134">
        <v>42548</v>
      </c>
      <c r="U754" s="172">
        <f t="shared" si="43"/>
        <v>2016</v>
      </c>
      <c r="V754" s="172">
        <f t="shared" si="44"/>
        <v>6</v>
      </c>
      <c r="W754" s="44" t="s">
        <v>280</v>
      </c>
      <c r="X754" t="s">
        <v>892</v>
      </c>
      <c r="Y754">
        <v>1</v>
      </c>
      <c r="AA754" s="13">
        <f t="shared" si="42"/>
        <v>101999</v>
      </c>
      <c r="AE754" s="43"/>
      <c r="AL754" s="87" t="s">
        <v>819</v>
      </c>
      <c r="AM754" s="86">
        <v>435006</v>
      </c>
    </row>
    <row r="755" spans="13:39" hidden="1">
      <c r="M755" s="131">
        <v>102000</v>
      </c>
      <c r="N755" s="223">
        <v>480942</v>
      </c>
      <c r="O755" s="132" t="s">
        <v>244</v>
      </c>
      <c r="P755" s="132" t="s">
        <v>245</v>
      </c>
      <c r="Q755" s="133">
        <v>283</v>
      </c>
      <c r="R755" s="132" t="s">
        <v>279</v>
      </c>
      <c r="S755" s="132" t="s">
        <v>11</v>
      </c>
      <c r="T755" s="134">
        <v>42246</v>
      </c>
      <c r="U755" s="172">
        <f t="shared" si="43"/>
        <v>2015</v>
      </c>
      <c r="V755" s="172">
        <f t="shared" si="44"/>
        <v>8</v>
      </c>
      <c r="W755" s="44" t="s">
        <v>291</v>
      </c>
      <c r="X755" t="s">
        <v>892</v>
      </c>
      <c r="Y755">
        <v>1</v>
      </c>
      <c r="AA755" s="13">
        <f t="shared" si="42"/>
        <v>102000</v>
      </c>
      <c r="AE755" s="43"/>
      <c r="AL755" s="87" t="s">
        <v>819</v>
      </c>
      <c r="AM755" s="86">
        <v>435006</v>
      </c>
    </row>
    <row r="756" spans="13:39" hidden="1">
      <c r="M756" s="131">
        <v>102000</v>
      </c>
      <c r="N756" s="223">
        <v>491845</v>
      </c>
      <c r="O756" s="132" t="s">
        <v>244</v>
      </c>
      <c r="P756" s="132" t="s">
        <v>245</v>
      </c>
      <c r="Q756" s="133">
        <v>305</v>
      </c>
      <c r="R756" s="132" t="s">
        <v>279</v>
      </c>
      <c r="S756" s="132" t="s">
        <v>11</v>
      </c>
      <c r="T756" s="134">
        <v>42246</v>
      </c>
      <c r="U756" s="172">
        <f t="shared" si="43"/>
        <v>2015</v>
      </c>
      <c r="V756" s="172">
        <f t="shared" si="44"/>
        <v>8</v>
      </c>
      <c r="W756" s="44" t="s">
        <v>291</v>
      </c>
      <c r="X756" t="s">
        <v>892</v>
      </c>
      <c r="Y756">
        <v>1</v>
      </c>
      <c r="AA756" s="13">
        <f t="shared" si="42"/>
        <v>102000</v>
      </c>
      <c r="AE756" s="43"/>
      <c r="AL756" s="87" t="s">
        <v>819</v>
      </c>
      <c r="AM756" s="86">
        <v>435006</v>
      </c>
    </row>
    <row r="757" spans="13:39" hidden="1">
      <c r="M757" s="131">
        <v>102000</v>
      </c>
      <c r="N757" s="223">
        <v>493828</v>
      </c>
      <c r="O757" s="132" t="s">
        <v>244</v>
      </c>
      <c r="P757" s="132" t="s">
        <v>245</v>
      </c>
      <c r="Q757" s="133">
        <v>132</v>
      </c>
      <c r="R757" s="132" t="s">
        <v>279</v>
      </c>
      <c r="S757" s="132" t="s">
        <v>11</v>
      </c>
      <c r="T757" s="134">
        <v>42246</v>
      </c>
      <c r="U757" s="172">
        <f t="shared" si="43"/>
        <v>2015</v>
      </c>
      <c r="V757" s="172">
        <f t="shared" si="44"/>
        <v>8</v>
      </c>
      <c r="W757" s="44" t="s">
        <v>291</v>
      </c>
      <c r="X757" t="s">
        <v>892</v>
      </c>
      <c r="Y757">
        <v>1</v>
      </c>
      <c r="AA757" s="13">
        <f t="shared" si="42"/>
        <v>102000</v>
      </c>
      <c r="AE757" s="43"/>
      <c r="AL757" s="87" t="s">
        <v>819</v>
      </c>
      <c r="AM757" s="86">
        <v>435006</v>
      </c>
    </row>
    <row r="758" spans="13:39" hidden="1">
      <c r="M758" s="131">
        <v>102000</v>
      </c>
      <c r="N758" s="223">
        <v>530975</v>
      </c>
      <c r="O758" s="132" t="s">
        <v>244</v>
      </c>
      <c r="P758" s="132" t="s">
        <v>245</v>
      </c>
      <c r="Q758" s="133">
        <v>1122</v>
      </c>
      <c r="R758" s="132" t="s">
        <v>279</v>
      </c>
      <c r="S758" s="132" t="s">
        <v>11</v>
      </c>
      <c r="T758" s="134">
        <v>42548</v>
      </c>
      <c r="U758" s="172">
        <f t="shared" si="43"/>
        <v>2016</v>
      </c>
      <c r="V758" s="172">
        <f t="shared" si="44"/>
        <v>6</v>
      </c>
      <c r="W758" s="44" t="s">
        <v>280</v>
      </c>
      <c r="X758" t="s">
        <v>892</v>
      </c>
      <c r="Y758">
        <v>1</v>
      </c>
      <c r="AA758" s="13">
        <f t="shared" si="42"/>
        <v>102000</v>
      </c>
      <c r="AE758" s="43"/>
      <c r="AL758" s="87" t="s">
        <v>819</v>
      </c>
      <c r="AM758" s="86">
        <v>435211</v>
      </c>
    </row>
    <row r="759" spans="13:39" hidden="1">
      <c r="M759" s="131">
        <v>102000</v>
      </c>
      <c r="N759" s="223">
        <v>544643</v>
      </c>
      <c r="O759" s="132" t="s">
        <v>244</v>
      </c>
      <c r="P759" s="132" t="s">
        <v>245</v>
      </c>
      <c r="Q759" s="133">
        <v>1215</v>
      </c>
      <c r="R759" s="132" t="s">
        <v>279</v>
      </c>
      <c r="S759" s="132" t="s">
        <v>11</v>
      </c>
      <c r="T759" s="134">
        <v>42548</v>
      </c>
      <c r="U759" s="172">
        <f t="shared" si="43"/>
        <v>2016</v>
      </c>
      <c r="V759" s="172">
        <f t="shared" si="44"/>
        <v>6</v>
      </c>
      <c r="W759" s="44" t="s">
        <v>280</v>
      </c>
      <c r="X759" t="s">
        <v>892</v>
      </c>
      <c r="Y759">
        <v>1</v>
      </c>
      <c r="AA759" s="13">
        <f t="shared" si="42"/>
        <v>102000</v>
      </c>
      <c r="AE759" s="43"/>
      <c r="AL759" s="87" t="s">
        <v>819</v>
      </c>
      <c r="AM759" s="86">
        <v>435211</v>
      </c>
    </row>
    <row r="760" spans="13:39" hidden="1">
      <c r="M760" s="131">
        <v>102100</v>
      </c>
      <c r="N760" s="223">
        <v>562299</v>
      </c>
      <c r="O760" s="132" t="s">
        <v>244</v>
      </c>
      <c r="P760" s="132" t="s">
        <v>245</v>
      </c>
      <c r="Q760" s="133">
        <v>1068</v>
      </c>
      <c r="R760" s="132" t="s">
        <v>279</v>
      </c>
      <c r="S760" s="132" t="s">
        <v>11</v>
      </c>
      <c r="T760" s="134">
        <v>42548</v>
      </c>
      <c r="U760" s="172">
        <f t="shared" si="43"/>
        <v>2016</v>
      </c>
      <c r="V760" s="172">
        <f t="shared" si="44"/>
        <v>6</v>
      </c>
      <c r="W760" s="44" t="s">
        <v>280</v>
      </c>
      <c r="X760" t="s">
        <v>892</v>
      </c>
      <c r="Y760">
        <v>1</v>
      </c>
      <c r="AA760" s="13">
        <f t="shared" si="42"/>
        <v>102100</v>
      </c>
      <c r="AE760" s="43"/>
      <c r="AL760" s="87" t="s">
        <v>819</v>
      </c>
      <c r="AM760" s="86">
        <v>435211</v>
      </c>
    </row>
    <row r="761" spans="13:39" hidden="1">
      <c r="M761" s="131">
        <v>102109</v>
      </c>
      <c r="N761" s="223">
        <v>570841</v>
      </c>
      <c r="O761" s="132" t="s">
        <v>244</v>
      </c>
      <c r="P761" s="132" t="s">
        <v>245</v>
      </c>
      <c r="Q761" s="133">
        <v>347</v>
      </c>
      <c r="R761" s="132" t="s">
        <v>279</v>
      </c>
      <c r="S761" s="132" t="s">
        <v>11</v>
      </c>
      <c r="T761" s="134">
        <v>42548</v>
      </c>
      <c r="U761" s="172">
        <f t="shared" si="43"/>
        <v>2016</v>
      </c>
      <c r="V761" s="172">
        <f t="shared" si="44"/>
        <v>6</v>
      </c>
      <c r="W761" s="44" t="s">
        <v>280</v>
      </c>
      <c r="X761" t="s">
        <v>892</v>
      </c>
      <c r="Y761">
        <v>1</v>
      </c>
      <c r="AA761" s="13">
        <f t="shared" si="42"/>
        <v>102109</v>
      </c>
      <c r="AE761" s="43"/>
      <c r="AL761" s="87" t="s">
        <v>819</v>
      </c>
      <c r="AM761" s="86">
        <v>435211</v>
      </c>
    </row>
    <row r="762" spans="13:39" hidden="1">
      <c r="M762" s="131">
        <v>102300</v>
      </c>
      <c r="N762" s="223">
        <v>540087</v>
      </c>
      <c r="O762" s="132" t="s">
        <v>244</v>
      </c>
      <c r="P762" s="132" t="s">
        <v>245</v>
      </c>
      <c r="Q762" s="133">
        <v>1452</v>
      </c>
      <c r="R762" s="132" t="s">
        <v>279</v>
      </c>
      <c r="S762" s="132" t="s">
        <v>11</v>
      </c>
      <c r="T762" s="134">
        <v>42548</v>
      </c>
      <c r="U762" s="172">
        <f t="shared" si="43"/>
        <v>2016</v>
      </c>
      <c r="V762" s="172">
        <f t="shared" si="44"/>
        <v>6</v>
      </c>
      <c r="W762" s="44" t="s">
        <v>280</v>
      </c>
      <c r="X762" t="s">
        <v>892</v>
      </c>
      <c r="Y762">
        <v>1</v>
      </c>
      <c r="AA762" s="13">
        <f t="shared" si="42"/>
        <v>102300</v>
      </c>
      <c r="AE762" s="43"/>
      <c r="AL762" s="87" t="s">
        <v>819</v>
      </c>
      <c r="AM762" s="86">
        <v>435326</v>
      </c>
    </row>
    <row r="763" spans="13:39" hidden="1">
      <c r="M763" s="131">
        <v>102500</v>
      </c>
      <c r="N763" s="223">
        <v>489864</v>
      </c>
      <c r="O763" s="132" t="s">
        <v>244</v>
      </c>
      <c r="P763" s="132" t="s">
        <v>245</v>
      </c>
      <c r="Q763" s="133">
        <v>490</v>
      </c>
      <c r="R763" s="132" t="s">
        <v>279</v>
      </c>
      <c r="S763" s="132" t="s">
        <v>11</v>
      </c>
      <c r="T763" s="134">
        <v>42246</v>
      </c>
      <c r="U763" s="172">
        <f t="shared" si="43"/>
        <v>2015</v>
      </c>
      <c r="V763" s="172">
        <f t="shared" si="44"/>
        <v>8</v>
      </c>
      <c r="W763" s="44" t="s">
        <v>291</v>
      </c>
      <c r="X763" t="s">
        <v>892</v>
      </c>
      <c r="Y763">
        <v>1</v>
      </c>
      <c r="AA763" s="13">
        <f t="shared" si="42"/>
        <v>102500</v>
      </c>
      <c r="AE763" s="43"/>
      <c r="AL763" s="87" t="s">
        <v>819</v>
      </c>
      <c r="AM763" s="86">
        <v>435766</v>
      </c>
    </row>
    <row r="764" spans="13:39" hidden="1">
      <c r="M764" s="131">
        <v>102760</v>
      </c>
      <c r="N764" s="223">
        <v>549769</v>
      </c>
      <c r="O764" s="132" t="s">
        <v>244</v>
      </c>
      <c r="P764" s="132" t="s">
        <v>245</v>
      </c>
      <c r="Q764" s="133">
        <v>1253</v>
      </c>
      <c r="R764" s="132" t="s">
        <v>279</v>
      </c>
      <c r="S764" s="132" t="s">
        <v>11</v>
      </c>
      <c r="T764" s="134">
        <v>42548</v>
      </c>
      <c r="U764" s="172">
        <f t="shared" si="43"/>
        <v>2016</v>
      </c>
      <c r="V764" s="172">
        <f t="shared" si="44"/>
        <v>6</v>
      </c>
      <c r="W764" s="44" t="s">
        <v>280</v>
      </c>
      <c r="X764" t="s">
        <v>892</v>
      </c>
      <c r="Y764">
        <v>1</v>
      </c>
      <c r="AA764" s="13">
        <f t="shared" si="42"/>
        <v>102760</v>
      </c>
      <c r="AE764" s="43"/>
      <c r="AL764" s="87" t="s">
        <v>819</v>
      </c>
      <c r="AM764" s="86">
        <v>436117</v>
      </c>
    </row>
    <row r="765" spans="13:39" hidden="1">
      <c r="M765" s="131">
        <v>103000</v>
      </c>
      <c r="N765" s="223">
        <v>487385</v>
      </c>
      <c r="O765" s="132" t="s">
        <v>244</v>
      </c>
      <c r="P765" s="132" t="s">
        <v>245</v>
      </c>
      <c r="Q765" s="133">
        <v>511</v>
      </c>
      <c r="R765" s="132" t="s">
        <v>279</v>
      </c>
      <c r="S765" s="132" t="s">
        <v>11</v>
      </c>
      <c r="T765" s="134">
        <v>42246</v>
      </c>
      <c r="U765" s="172">
        <f t="shared" si="43"/>
        <v>2015</v>
      </c>
      <c r="V765" s="172">
        <f t="shared" si="44"/>
        <v>8</v>
      </c>
      <c r="W765" s="44" t="s">
        <v>291</v>
      </c>
      <c r="X765" t="s">
        <v>892</v>
      </c>
      <c r="Y765">
        <v>1</v>
      </c>
      <c r="AA765" s="13">
        <f t="shared" si="42"/>
        <v>103000</v>
      </c>
      <c r="AE765" s="43"/>
      <c r="AL765" s="87" t="s">
        <v>819</v>
      </c>
      <c r="AM765" s="86">
        <v>436206</v>
      </c>
    </row>
    <row r="766" spans="13:39" hidden="1">
      <c r="M766" s="131">
        <v>103000</v>
      </c>
      <c r="N766" s="223">
        <v>490854</v>
      </c>
      <c r="O766" s="132" t="s">
        <v>244</v>
      </c>
      <c r="P766" s="132" t="s">
        <v>245</v>
      </c>
      <c r="Q766" s="133">
        <v>416</v>
      </c>
      <c r="R766" s="132" t="s">
        <v>279</v>
      </c>
      <c r="S766" s="132" t="s">
        <v>11</v>
      </c>
      <c r="T766" s="134">
        <v>42246</v>
      </c>
      <c r="U766" s="172">
        <f t="shared" si="43"/>
        <v>2015</v>
      </c>
      <c r="V766" s="172">
        <f t="shared" si="44"/>
        <v>8</v>
      </c>
      <c r="W766" s="44" t="s">
        <v>291</v>
      </c>
      <c r="X766" t="s">
        <v>892</v>
      </c>
      <c r="Y766">
        <v>1</v>
      </c>
      <c r="AA766" s="13">
        <f t="shared" si="42"/>
        <v>103000</v>
      </c>
      <c r="AE766" s="43"/>
      <c r="AL766" s="87" t="s">
        <v>819</v>
      </c>
      <c r="AM766" s="86">
        <v>436646</v>
      </c>
    </row>
    <row r="767" spans="13:39" hidden="1">
      <c r="M767" s="131">
        <v>103000</v>
      </c>
      <c r="N767" s="223">
        <v>492342</v>
      </c>
      <c r="O767" s="132" t="s">
        <v>244</v>
      </c>
      <c r="P767" s="132" t="s">
        <v>245</v>
      </c>
      <c r="Q767" s="133">
        <v>302</v>
      </c>
      <c r="R767" s="132" t="s">
        <v>279</v>
      </c>
      <c r="S767" s="132" t="s">
        <v>11</v>
      </c>
      <c r="T767" s="134">
        <v>42246</v>
      </c>
      <c r="U767" s="172">
        <f t="shared" si="43"/>
        <v>2015</v>
      </c>
      <c r="V767" s="172">
        <f t="shared" si="44"/>
        <v>8</v>
      </c>
      <c r="W767" s="44" t="s">
        <v>291</v>
      </c>
      <c r="X767" t="s">
        <v>892</v>
      </c>
      <c r="Y767">
        <v>1</v>
      </c>
      <c r="AA767" s="13">
        <f t="shared" si="42"/>
        <v>103000</v>
      </c>
      <c r="AE767" s="43"/>
      <c r="AL767" s="87" t="s">
        <v>819</v>
      </c>
      <c r="AM767" s="86">
        <v>436646</v>
      </c>
    </row>
    <row r="768" spans="13:39" hidden="1">
      <c r="M768" s="131">
        <v>103000</v>
      </c>
      <c r="N768" s="223">
        <v>520094</v>
      </c>
      <c r="O768" s="132" t="s">
        <v>244</v>
      </c>
      <c r="P768" s="132" t="s">
        <v>245</v>
      </c>
      <c r="Q768" s="133">
        <v>172</v>
      </c>
      <c r="R768" s="132" t="s">
        <v>279</v>
      </c>
      <c r="S768" s="132" t="s">
        <v>11</v>
      </c>
      <c r="T768" s="134">
        <v>42246</v>
      </c>
      <c r="U768" s="172">
        <f t="shared" si="43"/>
        <v>2015</v>
      </c>
      <c r="V768" s="172">
        <f t="shared" si="44"/>
        <v>8</v>
      </c>
      <c r="W768" s="44" t="s">
        <v>291</v>
      </c>
      <c r="X768" t="s">
        <v>892</v>
      </c>
      <c r="Y768">
        <v>1</v>
      </c>
      <c r="AA768" s="13">
        <f t="shared" si="42"/>
        <v>103000</v>
      </c>
      <c r="AE768" s="43"/>
      <c r="AL768" s="87" t="s">
        <v>819</v>
      </c>
      <c r="AM768" s="86">
        <v>436998</v>
      </c>
    </row>
    <row r="769" spans="13:39" hidden="1">
      <c r="M769" s="131">
        <v>103000</v>
      </c>
      <c r="N769" s="223">
        <v>595900</v>
      </c>
      <c r="O769" s="132" t="s">
        <v>244</v>
      </c>
      <c r="P769" s="132" t="s">
        <v>245</v>
      </c>
      <c r="Q769" s="133">
        <v>1141</v>
      </c>
      <c r="R769" s="132" t="s">
        <v>279</v>
      </c>
      <c r="S769" s="132" t="s">
        <v>11</v>
      </c>
      <c r="T769" s="134">
        <v>42548</v>
      </c>
      <c r="U769" s="172">
        <f t="shared" si="43"/>
        <v>2016</v>
      </c>
      <c r="V769" s="172">
        <f t="shared" si="44"/>
        <v>6</v>
      </c>
      <c r="W769" s="44" t="s">
        <v>280</v>
      </c>
      <c r="X769" t="s">
        <v>892</v>
      </c>
      <c r="Y769">
        <v>1</v>
      </c>
      <c r="AA769" s="13">
        <f t="shared" si="42"/>
        <v>103000</v>
      </c>
      <c r="AE769" s="43"/>
      <c r="AL769" s="87" t="s">
        <v>819</v>
      </c>
      <c r="AM769" s="86">
        <v>437085</v>
      </c>
    </row>
    <row r="770" spans="13:39" hidden="1">
      <c r="M770" s="131">
        <v>103079</v>
      </c>
      <c r="N770" s="223">
        <v>546921</v>
      </c>
      <c r="O770" s="132" t="s">
        <v>244</v>
      </c>
      <c r="P770" s="132" t="s">
        <v>245</v>
      </c>
      <c r="Q770" s="133">
        <v>1182</v>
      </c>
      <c r="R770" s="132" t="s">
        <v>279</v>
      </c>
      <c r="S770" s="132" t="s">
        <v>11</v>
      </c>
      <c r="T770" s="134">
        <v>42548</v>
      </c>
      <c r="U770" s="172">
        <f t="shared" si="43"/>
        <v>2016</v>
      </c>
      <c r="V770" s="172">
        <f t="shared" si="44"/>
        <v>6</v>
      </c>
      <c r="W770" s="44" t="s">
        <v>280</v>
      </c>
      <c r="X770" t="s">
        <v>892</v>
      </c>
      <c r="Y770">
        <v>1</v>
      </c>
      <c r="AA770" s="13">
        <f t="shared" si="42"/>
        <v>103079</v>
      </c>
      <c r="AE770" s="43"/>
      <c r="AL770" s="87" t="s">
        <v>819</v>
      </c>
      <c r="AM770" s="86">
        <v>437338</v>
      </c>
    </row>
    <row r="771" spans="13:39" hidden="1">
      <c r="M771" s="131">
        <v>103200</v>
      </c>
      <c r="N771" s="223">
        <v>550908</v>
      </c>
      <c r="O771" s="132" t="s">
        <v>244</v>
      </c>
      <c r="P771" s="132" t="s">
        <v>245</v>
      </c>
      <c r="Q771" s="133">
        <v>1252</v>
      </c>
      <c r="R771" s="132" t="s">
        <v>279</v>
      </c>
      <c r="S771" s="132" t="s">
        <v>11</v>
      </c>
      <c r="T771" s="134">
        <v>42548</v>
      </c>
      <c r="U771" s="172">
        <f t="shared" si="43"/>
        <v>2016</v>
      </c>
      <c r="V771" s="172">
        <f t="shared" si="44"/>
        <v>6</v>
      </c>
      <c r="W771" s="44" t="s">
        <v>280</v>
      </c>
      <c r="X771" t="s">
        <v>892</v>
      </c>
      <c r="Y771">
        <v>1</v>
      </c>
      <c r="AA771" s="13">
        <f t="shared" si="42"/>
        <v>103200</v>
      </c>
      <c r="AE771" s="43"/>
      <c r="AL771" s="87" t="s">
        <v>819</v>
      </c>
      <c r="AM771" s="86">
        <v>438558</v>
      </c>
    </row>
    <row r="772" spans="13:39" hidden="1">
      <c r="M772" s="131">
        <v>103500</v>
      </c>
      <c r="N772" s="223">
        <v>553187</v>
      </c>
      <c r="O772" s="132" t="s">
        <v>244</v>
      </c>
      <c r="P772" s="132" t="s">
        <v>245</v>
      </c>
      <c r="Q772" s="133">
        <v>1331</v>
      </c>
      <c r="R772" s="132" t="s">
        <v>279</v>
      </c>
      <c r="S772" s="132" t="s">
        <v>11</v>
      </c>
      <c r="T772" s="134">
        <v>42548</v>
      </c>
      <c r="U772" s="172">
        <f t="shared" si="43"/>
        <v>2016</v>
      </c>
      <c r="V772" s="172">
        <f t="shared" si="44"/>
        <v>6</v>
      </c>
      <c r="W772" s="44" t="s">
        <v>280</v>
      </c>
      <c r="X772" t="s">
        <v>892</v>
      </c>
      <c r="Y772">
        <v>1</v>
      </c>
      <c r="AA772" s="13">
        <f t="shared" ref="AA772:AA835" si="45">IF(M772&lt;30000,Y772*100*M772*(1-$L$1)-$L$2*Y772,M772)</f>
        <v>103500</v>
      </c>
      <c r="AE772" s="43"/>
      <c r="AL772" s="87" t="s">
        <v>819</v>
      </c>
      <c r="AM772" s="86">
        <v>439723</v>
      </c>
    </row>
    <row r="773" spans="13:39" hidden="1">
      <c r="M773" s="131">
        <v>103500</v>
      </c>
      <c r="N773" s="223">
        <v>555464</v>
      </c>
      <c r="O773" s="132" t="s">
        <v>244</v>
      </c>
      <c r="P773" s="132" t="s">
        <v>245</v>
      </c>
      <c r="Q773" s="133">
        <v>254</v>
      </c>
      <c r="R773" s="132" t="s">
        <v>279</v>
      </c>
      <c r="S773" s="132" t="s">
        <v>11</v>
      </c>
      <c r="T773" s="134">
        <v>42548</v>
      </c>
      <c r="U773" s="172">
        <f t="shared" si="43"/>
        <v>2016</v>
      </c>
      <c r="V773" s="172">
        <f t="shared" si="44"/>
        <v>6</v>
      </c>
      <c r="W773" s="44" t="s">
        <v>280</v>
      </c>
      <c r="X773" t="s">
        <v>892</v>
      </c>
      <c r="Y773">
        <v>1</v>
      </c>
      <c r="AA773" s="13">
        <f t="shared" si="45"/>
        <v>103500</v>
      </c>
      <c r="AE773" s="43"/>
      <c r="AL773" s="87" t="s">
        <v>819</v>
      </c>
      <c r="AM773" s="86">
        <v>439779</v>
      </c>
    </row>
    <row r="774" spans="13:39" hidden="1">
      <c r="M774" s="131">
        <v>103577</v>
      </c>
      <c r="N774" s="223">
        <v>491350</v>
      </c>
      <c r="O774" s="132" t="s">
        <v>244</v>
      </c>
      <c r="P774" s="132" t="s">
        <v>245</v>
      </c>
      <c r="Q774" s="133">
        <v>449</v>
      </c>
      <c r="R774" s="132" t="s">
        <v>279</v>
      </c>
      <c r="S774" s="132" t="s">
        <v>11</v>
      </c>
      <c r="T774" s="134">
        <v>42246</v>
      </c>
      <c r="U774" s="172">
        <f t="shared" si="43"/>
        <v>2015</v>
      </c>
      <c r="V774" s="172">
        <f t="shared" si="44"/>
        <v>8</v>
      </c>
      <c r="W774" s="44" t="s">
        <v>291</v>
      </c>
      <c r="X774" t="s">
        <v>892</v>
      </c>
      <c r="Y774">
        <v>1</v>
      </c>
      <c r="AA774" s="13">
        <f t="shared" si="45"/>
        <v>103577</v>
      </c>
      <c r="AE774" s="43"/>
      <c r="AL774" s="87" t="s">
        <v>819</v>
      </c>
      <c r="AM774" s="86">
        <v>440580</v>
      </c>
    </row>
    <row r="775" spans="13:39" hidden="1">
      <c r="M775" s="131">
        <v>103680</v>
      </c>
      <c r="N775" s="223">
        <v>570841</v>
      </c>
      <c r="O775" s="132" t="s">
        <v>244</v>
      </c>
      <c r="P775" s="132" t="s">
        <v>245</v>
      </c>
      <c r="Q775" s="133">
        <v>1488</v>
      </c>
      <c r="R775" s="132" t="s">
        <v>279</v>
      </c>
      <c r="S775" s="132" t="s">
        <v>11</v>
      </c>
      <c r="T775" s="134">
        <v>42548</v>
      </c>
      <c r="U775" s="172">
        <f t="shared" ref="U775:U838" si="46">YEAR($T775)</f>
        <v>2016</v>
      </c>
      <c r="V775" s="172">
        <f t="shared" ref="V775:V838" si="47">MONTH($T775)</f>
        <v>6</v>
      </c>
      <c r="W775" s="44" t="s">
        <v>280</v>
      </c>
      <c r="X775" t="s">
        <v>892</v>
      </c>
      <c r="Y775">
        <v>1</v>
      </c>
      <c r="AA775" s="13">
        <f t="shared" si="45"/>
        <v>103680</v>
      </c>
      <c r="AE775" s="43"/>
      <c r="AL775" s="87" t="s">
        <v>819</v>
      </c>
      <c r="AM775" s="86">
        <v>441000</v>
      </c>
    </row>
    <row r="776" spans="13:39" hidden="1">
      <c r="M776" s="131">
        <v>103700</v>
      </c>
      <c r="N776" s="223">
        <v>488377</v>
      </c>
      <c r="O776" s="132" t="s">
        <v>244</v>
      </c>
      <c r="P776" s="132" t="s">
        <v>245</v>
      </c>
      <c r="Q776" s="133">
        <v>327</v>
      </c>
      <c r="R776" s="132" t="s">
        <v>279</v>
      </c>
      <c r="S776" s="132" t="s">
        <v>11</v>
      </c>
      <c r="T776" s="134">
        <v>42246</v>
      </c>
      <c r="U776" s="172">
        <f t="shared" si="46"/>
        <v>2015</v>
      </c>
      <c r="V776" s="172">
        <f t="shared" si="47"/>
        <v>8</v>
      </c>
      <c r="W776" s="44" t="s">
        <v>291</v>
      </c>
      <c r="X776" t="s">
        <v>892</v>
      </c>
      <c r="Y776">
        <v>1</v>
      </c>
      <c r="AA776" s="13">
        <f t="shared" si="45"/>
        <v>103700</v>
      </c>
      <c r="AE776" s="43"/>
      <c r="AL776" s="87" t="s">
        <v>819</v>
      </c>
      <c r="AM776" s="86">
        <v>441350</v>
      </c>
    </row>
    <row r="777" spans="13:39" hidden="1">
      <c r="M777" s="131">
        <v>103700</v>
      </c>
      <c r="N777" s="223">
        <v>504731</v>
      </c>
      <c r="O777" s="132" t="s">
        <v>244</v>
      </c>
      <c r="P777" s="132" t="s">
        <v>245</v>
      </c>
      <c r="Q777" s="133">
        <v>83</v>
      </c>
      <c r="R777" s="132" t="s">
        <v>279</v>
      </c>
      <c r="S777" s="132" t="s">
        <v>11</v>
      </c>
      <c r="T777" s="134">
        <v>42246</v>
      </c>
      <c r="U777" s="172">
        <f t="shared" si="46"/>
        <v>2015</v>
      </c>
      <c r="V777" s="172">
        <f t="shared" si="47"/>
        <v>8</v>
      </c>
      <c r="W777" s="44" t="s">
        <v>291</v>
      </c>
      <c r="X777" t="s">
        <v>892</v>
      </c>
      <c r="Y777">
        <v>1</v>
      </c>
      <c r="AA777" s="13">
        <f t="shared" si="45"/>
        <v>103700</v>
      </c>
      <c r="AE777" s="43"/>
      <c r="AL777" s="87" t="s">
        <v>819</v>
      </c>
      <c r="AM777" s="86">
        <v>441350</v>
      </c>
    </row>
    <row r="778" spans="13:39" hidden="1">
      <c r="M778" s="131">
        <v>103999</v>
      </c>
      <c r="N778" s="223">
        <v>543504</v>
      </c>
      <c r="O778" s="132" t="s">
        <v>244</v>
      </c>
      <c r="P778" s="132" t="s">
        <v>245</v>
      </c>
      <c r="Q778" s="133">
        <v>1139</v>
      </c>
      <c r="R778" s="132" t="s">
        <v>279</v>
      </c>
      <c r="S778" s="132" t="s">
        <v>11</v>
      </c>
      <c r="T778" s="134">
        <v>42548</v>
      </c>
      <c r="U778" s="172">
        <f t="shared" si="46"/>
        <v>2016</v>
      </c>
      <c r="V778" s="172">
        <f t="shared" si="47"/>
        <v>6</v>
      </c>
      <c r="W778" s="44" t="s">
        <v>280</v>
      </c>
      <c r="X778" t="s">
        <v>892</v>
      </c>
      <c r="Y778">
        <v>1</v>
      </c>
      <c r="AA778" s="13">
        <f t="shared" si="45"/>
        <v>103999</v>
      </c>
      <c r="AE778" s="43"/>
      <c r="AL778" s="87" t="s">
        <v>819</v>
      </c>
      <c r="AM778" s="86">
        <v>441350</v>
      </c>
    </row>
    <row r="779" spans="13:39" hidden="1">
      <c r="M779" s="131">
        <v>104000</v>
      </c>
      <c r="N779" s="223">
        <v>492837</v>
      </c>
      <c r="O779" s="132" t="s">
        <v>244</v>
      </c>
      <c r="P779" s="132" t="s">
        <v>245</v>
      </c>
      <c r="Q779" s="133">
        <v>368</v>
      </c>
      <c r="R779" s="132" t="s">
        <v>279</v>
      </c>
      <c r="S779" s="132" t="s">
        <v>11</v>
      </c>
      <c r="T779" s="134">
        <v>42246</v>
      </c>
      <c r="U779" s="172">
        <f t="shared" si="46"/>
        <v>2015</v>
      </c>
      <c r="V779" s="172">
        <f t="shared" si="47"/>
        <v>8</v>
      </c>
      <c r="W779" s="44" t="s">
        <v>291</v>
      </c>
      <c r="X779" t="s">
        <v>892</v>
      </c>
      <c r="Y779">
        <v>1</v>
      </c>
      <c r="AA779" s="13">
        <f t="shared" si="45"/>
        <v>104000</v>
      </c>
      <c r="AE779" s="43"/>
      <c r="AL779" s="87" t="s">
        <v>819</v>
      </c>
      <c r="AM779" s="86">
        <v>441350</v>
      </c>
    </row>
    <row r="780" spans="13:39" hidden="1">
      <c r="M780" s="131">
        <v>104000</v>
      </c>
      <c r="N780" s="223">
        <v>543504</v>
      </c>
      <c r="O780" s="132" t="s">
        <v>244</v>
      </c>
      <c r="P780" s="132" t="s">
        <v>245</v>
      </c>
      <c r="Q780" s="133">
        <v>1466</v>
      </c>
      <c r="R780" s="132" t="s">
        <v>279</v>
      </c>
      <c r="S780" s="132" t="s">
        <v>11</v>
      </c>
      <c r="T780" s="134">
        <v>42548</v>
      </c>
      <c r="U780" s="172">
        <f t="shared" si="46"/>
        <v>2016</v>
      </c>
      <c r="V780" s="172">
        <f t="shared" si="47"/>
        <v>6</v>
      </c>
      <c r="W780" s="44" t="s">
        <v>280</v>
      </c>
      <c r="X780" t="s">
        <v>892</v>
      </c>
      <c r="Y780">
        <v>1</v>
      </c>
      <c r="AA780" s="13">
        <f t="shared" si="45"/>
        <v>104000</v>
      </c>
      <c r="AE780" s="43"/>
      <c r="AL780" s="87" t="s">
        <v>819</v>
      </c>
      <c r="AM780" s="86">
        <v>441350</v>
      </c>
    </row>
    <row r="781" spans="13:39" hidden="1">
      <c r="M781" s="131">
        <v>104000</v>
      </c>
      <c r="N781" s="223">
        <v>555464</v>
      </c>
      <c r="O781" s="132" t="s">
        <v>244</v>
      </c>
      <c r="P781" s="132" t="s">
        <v>245</v>
      </c>
      <c r="Q781" s="133">
        <v>246</v>
      </c>
      <c r="R781" s="132" t="s">
        <v>279</v>
      </c>
      <c r="S781" s="132" t="s">
        <v>11</v>
      </c>
      <c r="T781" s="134">
        <v>42548</v>
      </c>
      <c r="U781" s="172">
        <f t="shared" si="46"/>
        <v>2016</v>
      </c>
      <c r="V781" s="172">
        <f t="shared" si="47"/>
        <v>6</v>
      </c>
      <c r="W781" s="44" t="s">
        <v>280</v>
      </c>
      <c r="X781" t="s">
        <v>892</v>
      </c>
      <c r="Y781">
        <v>1</v>
      </c>
      <c r="AA781" s="13">
        <f t="shared" si="45"/>
        <v>104000</v>
      </c>
      <c r="AE781" s="43"/>
      <c r="AL781" s="87" t="s">
        <v>819</v>
      </c>
      <c r="AM781" s="86">
        <v>441350</v>
      </c>
    </row>
    <row r="782" spans="13:39" hidden="1">
      <c r="M782" s="131">
        <v>104080</v>
      </c>
      <c r="N782" s="223">
        <v>553187</v>
      </c>
      <c r="O782" s="132" t="s">
        <v>244</v>
      </c>
      <c r="P782" s="132" t="s">
        <v>245</v>
      </c>
      <c r="Q782" s="133">
        <v>1091</v>
      </c>
      <c r="R782" s="132" t="s">
        <v>279</v>
      </c>
      <c r="S782" s="132" t="s">
        <v>11</v>
      </c>
      <c r="T782" s="134">
        <v>42548</v>
      </c>
      <c r="U782" s="172">
        <f t="shared" si="46"/>
        <v>2016</v>
      </c>
      <c r="V782" s="172">
        <f t="shared" si="47"/>
        <v>6</v>
      </c>
      <c r="W782" s="44" t="s">
        <v>280</v>
      </c>
      <c r="X782" t="s">
        <v>892</v>
      </c>
      <c r="Y782">
        <v>1</v>
      </c>
      <c r="AA782" s="13">
        <f t="shared" si="45"/>
        <v>104080</v>
      </c>
      <c r="AE782" s="43"/>
      <c r="AL782" s="87" t="s">
        <v>819</v>
      </c>
      <c r="AM782" s="86">
        <v>441350</v>
      </c>
    </row>
    <row r="783" spans="13:39" hidden="1">
      <c r="M783" s="131">
        <v>104444</v>
      </c>
      <c r="N783" s="223">
        <v>486394</v>
      </c>
      <c r="O783" s="132" t="s">
        <v>244</v>
      </c>
      <c r="P783" s="132" t="s">
        <v>245</v>
      </c>
      <c r="Q783" s="133">
        <v>62</v>
      </c>
      <c r="R783" s="132" t="s">
        <v>279</v>
      </c>
      <c r="S783" s="132" t="s">
        <v>11</v>
      </c>
      <c r="T783" s="134">
        <v>42246</v>
      </c>
      <c r="U783" s="172">
        <f t="shared" si="46"/>
        <v>2015</v>
      </c>
      <c r="V783" s="172">
        <f t="shared" si="47"/>
        <v>8</v>
      </c>
      <c r="W783" s="44" t="s">
        <v>291</v>
      </c>
      <c r="X783" t="s">
        <v>892</v>
      </c>
      <c r="Y783">
        <v>1</v>
      </c>
      <c r="AA783" s="13">
        <f t="shared" si="45"/>
        <v>104444</v>
      </c>
      <c r="AE783" s="43"/>
      <c r="AL783" s="87" t="s">
        <v>819</v>
      </c>
      <c r="AM783" s="86">
        <v>441350</v>
      </c>
    </row>
    <row r="784" spans="13:39" hidden="1">
      <c r="M784" s="131">
        <v>104444</v>
      </c>
      <c r="N784" s="223">
        <v>553755</v>
      </c>
      <c r="O784" s="132" t="s">
        <v>244</v>
      </c>
      <c r="P784" s="132" t="s">
        <v>245</v>
      </c>
      <c r="Q784" s="133">
        <v>1470</v>
      </c>
      <c r="R784" s="132" t="s">
        <v>279</v>
      </c>
      <c r="S784" s="132" t="s">
        <v>11</v>
      </c>
      <c r="T784" s="134">
        <v>42548</v>
      </c>
      <c r="U784" s="172">
        <f t="shared" si="46"/>
        <v>2016</v>
      </c>
      <c r="V784" s="172">
        <f t="shared" si="47"/>
        <v>6</v>
      </c>
      <c r="W784" s="44" t="s">
        <v>280</v>
      </c>
      <c r="X784" t="s">
        <v>892</v>
      </c>
      <c r="Y784">
        <v>1</v>
      </c>
      <c r="AA784" s="13">
        <f t="shared" si="45"/>
        <v>104444</v>
      </c>
      <c r="AE784" s="43"/>
      <c r="AL784" s="87" t="s">
        <v>819</v>
      </c>
      <c r="AM784" s="86">
        <v>441350</v>
      </c>
    </row>
    <row r="785" spans="13:39" hidden="1">
      <c r="M785" s="131">
        <v>104444</v>
      </c>
      <c r="N785" s="223">
        <v>561729</v>
      </c>
      <c r="O785" s="132" t="s">
        <v>244</v>
      </c>
      <c r="P785" s="132" t="s">
        <v>245</v>
      </c>
      <c r="Q785" s="133">
        <v>1471</v>
      </c>
      <c r="R785" s="132" t="s">
        <v>279</v>
      </c>
      <c r="S785" s="132" t="s">
        <v>11</v>
      </c>
      <c r="T785" s="134">
        <v>42548</v>
      </c>
      <c r="U785" s="172">
        <f t="shared" si="46"/>
        <v>2016</v>
      </c>
      <c r="V785" s="172">
        <f t="shared" si="47"/>
        <v>6</v>
      </c>
      <c r="W785" s="44" t="s">
        <v>280</v>
      </c>
      <c r="X785" t="s">
        <v>892</v>
      </c>
      <c r="Y785">
        <v>1</v>
      </c>
      <c r="AA785" s="13">
        <f t="shared" si="45"/>
        <v>104444</v>
      </c>
      <c r="AE785" s="43"/>
      <c r="AL785" s="87" t="s">
        <v>819</v>
      </c>
      <c r="AM785" s="86">
        <v>441350</v>
      </c>
    </row>
    <row r="786" spans="13:39" hidden="1">
      <c r="M786" s="131">
        <v>104455</v>
      </c>
      <c r="N786" s="223">
        <v>488873</v>
      </c>
      <c r="O786" s="132" t="s">
        <v>244</v>
      </c>
      <c r="P786" s="132" t="s">
        <v>245</v>
      </c>
      <c r="Q786" s="133">
        <v>346</v>
      </c>
      <c r="R786" s="132" t="s">
        <v>279</v>
      </c>
      <c r="S786" s="132" t="s">
        <v>11</v>
      </c>
      <c r="T786" s="134">
        <v>42246</v>
      </c>
      <c r="U786" s="172">
        <f t="shared" si="46"/>
        <v>2015</v>
      </c>
      <c r="V786" s="172">
        <f t="shared" si="47"/>
        <v>8</v>
      </c>
      <c r="W786" s="44" t="s">
        <v>291</v>
      </c>
      <c r="X786" t="s">
        <v>892</v>
      </c>
      <c r="Y786">
        <v>1</v>
      </c>
      <c r="AA786" s="13">
        <f t="shared" si="45"/>
        <v>104455</v>
      </c>
      <c r="AE786" s="43"/>
      <c r="AL786" s="87" t="s">
        <v>819</v>
      </c>
      <c r="AM786" s="86">
        <v>441351</v>
      </c>
    </row>
    <row r="787" spans="13:39" hidden="1">
      <c r="M787" s="131">
        <v>104500</v>
      </c>
      <c r="N787" s="223">
        <v>578246</v>
      </c>
      <c r="O787" s="132" t="s">
        <v>244</v>
      </c>
      <c r="P787" s="132" t="s">
        <v>245</v>
      </c>
      <c r="Q787" s="133">
        <v>1486</v>
      </c>
      <c r="R787" s="132" t="s">
        <v>279</v>
      </c>
      <c r="S787" s="132" t="s">
        <v>11</v>
      </c>
      <c r="T787" s="134">
        <v>42548</v>
      </c>
      <c r="U787" s="172">
        <f t="shared" si="46"/>
        <v>2016</v>
      </c>
      <c r="V787" s="172">
        <f t="shared" si="47"/>
        <v>6</v>
      </c>
      <c r="W787" s="44" t="s">
        <v>280</v>
      </c>
      <c r="X787" t="s">
        <v>892</v>
      </c>
      <c r="Y787">
        <v>1</v>
      </c>
      <c r="AA787" s="13">
        <f t="shared" si="45"/>
        <v>104500</v>
      </c>
      <c r="AE787" s="43"/>
      <c r="AL787" s="87" t="s">
        <v>819</v>
      </c>
      <c r="AM787" s="86">
        <v>441351</v>
      </c>
    </row>
    <row r="788" spans="13:39" hidden="1">
      <c r="M788" s="131">
        <v>105000</v>
      </c>
      <c r="N788" s="223">
        <v>475491</v>
      </c>
      <c r="O788" s="132" t="s">
        <v>244</v>
      </c>
      <c r="P788" s="132" t="s">
        <v>245</v>
      </c>
      <c r="Q788" s="133">
        <v>428</v>
      </c>
      <c r="R788" s="132" t="s">
        <v>279</v>
      </c>
      <c r="S788" s="132" t="s">
        <v>11</v>
      </c>
      <c r="T788" s="134">
        <v>42246</v>
      </c>
      <c r="U788" s="172">
        <f t="shared" si="46"/>
        <v>2015</v>
      </c>
      <c r="V788" s="172">
        <f t="shared" si="47"/>
        <v>8</v>
      </c>
      <c r="W788" s="44" t="s">
        <v>291</v>
      </c>
      <c r="X788" t="s">
        <v>892</v>
      </c>
      <c r="Y788">
        <v>1</v>
      </c>
      <c r="AA788" s="13">
        <f t="shared" si="45"/>
        <v>105000</v>
      </c>
      <c r="AE788" s="43"/>
      <c r="AL788" s="87" t="s">
        <v>819</v>
      </c>
      <c r="AM788" s="86">
        <v>441351</v>
      </c>
    </row>
    <row r="789" spans="13:39" hidden="1">
      <c r="M789" s="131">
        <v>105000</v>
      </c>
      <c r="N789" s="223">
        <v>482430</v>
      </c>
      <c r="O789" s="132" t="s">
        <v>244</v>
      </c>
      <c r="P789" s="132" t="s">
        <v>245</v>
      </c>
      <c r="Q789" s="133">
        <v>3</v>
      </c>
      <c r="R789" s="132" t="s">
        <v>279</v>
      </c>
      <c r="S789" s="132" t="s">
        <v>11</v>
      </c>
      <c r="T789" s="134">
        <v>42246</v>
      </c>
      <c r="U789" s="172">
        <f t="shared" si="46"/>
        <v>2015</v>
      </c>
      <c r="V789" s="172">
        <f t="shared" si="47"/>
        <v>8</v>
      </c>
      <c r="W789" s="44" t="s">
        <v>291</v>
      </c>
      <c r="X789" t="s">
        <v>892</v>
      </c>
      <c r="Y789">
        <v>1</v>
      </c>
      <c r="AA789" s="13">
        <f t="shared" si="45"/>
        <v>105000</v>
      </c>
      <c r="AE789" s="43"/>
      <c r="AL789" s="87" t="s">
        <v>819</v>
      </c>
      <c r="AM789" s="86">
        <v>441351</v>
      </c>
    </row>
    <row r="790" spans="13:39" hidden="1">
      <c r="M790" s="131">
        <v>105000</v>
      </c>
      <c r="N790" s="223">
        <v>488377</v>
      </c>
      <c r="O790" s="132" t="s">
        <v>244</v>
      </c>
      <c r="P790" s="132" t="s">
        <v>245</v>
      </c>
      <c r="Q790" s="133">
        <v>328</v>
      </c>
      <c r="R790" s="132" t="s">
        <v>279</v>
      </c>
      <c r="S790" s="132" t="s">
        <v>11</v>
      </c>
      <c r="T790" s="134">
        <v>42246</v>
      </c>
      <c r="U790" s="172">
        <f t="shared" si="46"/>
        <v>2015</v>
      </c>
      <c r="V790" s="172">
        <f t="shared" si="47"/>
        <v>8</v>
      </c>
      <c r="W790" s="44" t="s">
        <v>291</v>
      </c>
      <c r="X790" t="s">
        <v>892</v>
      </c>
      <c r="Y790">
        <v>1</v>
      </c>
      <c r="AA790" s="13">
        <f t="shared" si="45"/>
        <v>105000</v>
      </c>
      <c r="AE790" s="43"/>
      <c r="AL790" s="87" t="s">
        <v>819</v>
      </c>
      <c r="AM790" s="86">
        <v>441351</v>
      </c>
    </row>
    <row r="791" spans="13:39" hidden="1">
      <c r="M791" s="131">
        <v>105000</v>
      </c>
      <c r="N791" s="223">
        <v>489864</v>
      </c>
      <c r="O791" s="132" t="s">
        <v>244</v>
      </c>
      <c r="P791" s="132" t="s">
        <v>245</v>
      </c>
      <c r="Q791" s="133">
        <v>219</v>
      </c>
      <c r="R791" s="132" t="s">
        <v>279</v>
      </c>
      <c r="S791" s="132" t="s">
        <v>11</v>
      </c>
      <c r="T791" s="134">
        <v>42246</v>
      </c>
      <c r="U791" s="172">
        <f t="shared" si="46"/>
        <v>2015</v>
      </c>
      <c r="V791" s="172">
        <f t="shared" si="47"/>
        <v>8</v>
      </c>
      <c r="W791" s="44" t="s">
        <v>291</v>
      </c>
      <c r="X791" t="s">
        <v>892</v>
      </c>
      <c r="Y791">
        <v>1</v>
      </c>
      <c r="AA791" s="13">
        <f t="shared" si="45"/>
        <v>105000</v>
      </c>
      <c r="AE791" s="43"/>
      <c r="AL791" s="87" t="s">
        <v>819</v>
      </c>
      <c r="AM791" s="86">
        <v>441351</v>
      </c>
    </row>
    <row r="792" spans="13:39" hidden="1">
      <c r="M792" s="131">
        <v>105000</v>
      </c>
      <c r="N792" s="223">
        <v>542935</v>
      </c>
      <c r="O792" s="132" t="s">
        <v>244</v>
      </c>
      <c r="P792" s="132" t="s">
        <v>245</v>
      </c>
      <c r="Q792" s="133">
        <v>1224</v>
      </c>
      <c r="R792" s="132" t="s">
        <v>279</v>
      </c>
      <c r="S792" s="132" t="s">
        <v>11</v>
      </c>
      <c r="T792" s="134">
        <v>42548</v>
      </c>
      <c r="U792" s="172">
        <f t="shared" si="46"/>
        <v>2016</v>
      </c>
      <c r="V792" s="172">
        <f t="shared" si="47"/>
        <v>6</v>
      </c>
      <c r="W792" s="44" t="s">
        <v>280</v>
      </c>
      <c r="X792" t="s">
        <v>892</v>
      </c>
      <c r="Y792">
        <v>1</v>
      </c>
      <c r="AA792" s="13">
        <f t="shared" si="45"/>
        <v>105000</v>
      </c>
      <c r="AE792" s="43"/>
      <c r="AL792" s="87" t="s">
        <v>819</v>
      </c>
      <c r="AM792" s="86">
        <v>441351</v>
      </c>
    </row>
    <row r="793" spans="13:39" hidden="1">
      <c r="M793" s="131">
        <v>105000</v>
      </c>
      <c r="N793" s="223">
        <v>569435</v>
      </c>
      <c r="O793" s="132" t="s">
        <v>244</v>
      </c>
      <c r="P793" s="132" t="s">
        <v>245</v>
      </c>
      <c r="Q793" s="133">
        <v>1303</v>
      </c>
      <c r="R793" s="132" t="s">
        <v>279</v>
      </c>
      <c r="S793" s="132" t="s">
        <v>11</v>
      </c>
      <c r="T793" s="134">
        <v>42548</v>
      </c>
      <c r="U793" s="172">
        <f t="shared" si="46"/>
        <v>2016</v>
      </c>
      <c r="V793" s="172">
        <f t="shared" si="47"/>
        <v>6</v>
      </c>
      <c r="W793" s="44" t="s">
        <v>280</v>
      </c>
      <c r="X793" t="s">
        <v>892</v>
      </c>
      <c r="Y793">
        <v>1</v>
      </c>
      <c r="AA793" s="13">
        <f t="shared" si="45"/>
        <v>105000</v>
      </c>
      <c r="AE793" s="43"/>
      <c r="AL793" s="87" t="s">
        <v>819</v>
      </c>
      <c r="AM793" s="86">
        <v>441351</v>
      </c>
    </row>
    <row r="794" spans="13:39" hidden="1">
      <c r="M794" s="131">
        <v>105001</v>
      </c>
      <c r="N794" s="223">
        <v>490854</v>
      </c>
      <c r="O794" s="132" t="s">
        <v>244</v>
      </c>
      <c r="P794" s="132" t="s">
        <v>245</v>
      </c>
      <c r="Q794" s="133">
        <v>528</v>
      </c>
      <c r="R794" s="132" t="s">
        <v>279</v>
      </c>
      <c r="S794" s="132" t="s">
        <v>11</v>
      </c>
      <c r="T794" s="134">
        <v>42246</v>
      </c>
      <c r="U794" s="172">
        <f t="shared" si="46"/>
        <v>2015</v>
      </c>
      <c r="V794" s="172">
        <f t="shared" si="47"/>
        <v>8</v>
      </c>
      <c r="W794" s="44" t="s">
        <v>291</v>
      </c>
      <c r="X794" t="s">
        <v>892</v>
      </c>
      <c r="Y794">
        <v>1</v>
      </c>
      <c r="AA794" s="13">
        <f t="shared" si="45"/>
        <v>105001</v>
      </c>
      <c r="AE794" s="43"/>
      <c r="AL794" s="87" t="s">
        <v>819</v>
      </c>
      <c r="AM794" s="86">
        <v>441351</v>
      </c>
    </row>
    <row r="795" spans="13:39" hidden="1">
      <c r="M795" s="131">
        <v>105180</v>
      </c>
      <c r="N795" s="223">
        <v>556034</v>
      </c>
      <c r="O795" s="132" t="s">
        <v>244</v>
      </c>
      <c r="P795" s="132" t="s">
        <v>245</v>
      </c>
      <c r="Q795" s="133">
        <v>288</v>
      </c>
      <c r="R795" s="132" t="s">
        <v>279</v>
      </c>
      <c r="S795" s="132" t="s">
        <v>11</v>
      </c>
      <c r="T795" s="134">
        <v>42548</v>
      </c>
      <c r="U795" s="172">
        <f t="shared" si="46"/>
        <v>2016</v>
      </c>
      <c r="V795" s="172">
        <f t="shared" si="47"/>
        <v>6</v>
      </c>
      <c r="W795" s="44" t="s">
        <v>280</v>
      </c>
      <c r="X795" t="s">
        <v>892</v>
      </c>
      <c r="Y795">
        <v>1</v>
      </c>
      <c r="AA795" s="13">
        <f t="shared" si="45"/>
        <v>105180</v>
      </c>
      <c r="AE795" s="43"/>
      <c r="AL795" s="87" t="s">
        <v>819</v>
      </c>
      <c r="AM795" s="86">
        <v>441351</v>
      </c>
    </row>
    <row r="796" spans="13:39" hidden="1">
      <c r="M796" s="131">
        <v>105200</v>
      </c>
      <c r="N796" s="223">
        <v>490359</v>
      </c>
      <c r="O796" s="132" t="s">
        <v>244</v>
      </c>
      <c r="P796" s="132" t="s">
        <v>245</v>
      </c>
      <c r="Q796" s="133">
        <v>520</v>
      </c>
      <c r="R796" s="132" t="s">
        <v>279</v>
      </c>
      <c r="S796" s="132" t="s">
        <v>11</v>
      </c>
      <c r="T796" s="134">
        <v>42246</v>
      </c>
      <c r="U796" s="172">
        <f t="shared" si="46"/>
        <v>2015</v>
      </c>
      <c r="V796" s="172">
        <f t="shared" si="47"/>
        <v>8</v>
      </c>
      <c r="W796" s="44" t="s">
        <v>291</v>
      </c>
      <c r="X796" t="s">
        <v>892</v>
      </c>
      <c r="Y796">
        <v>1</v>
      </c>
      <c r="AA796" s="13">
        <f t="shared" si="45"/>
        <v>105200</v>
      </c>
      <c r="AE796" s="43"/>
      <c r="AL796" s="87" t="s">
        <v>819</v>
      </c>
      <c r="AM796" s="86">
        <v>441351</v>
      </c>
    </row>
    <row r="797" spans="13:39" hidden="1">
      <c r="M797" s="131">
        <v>105208</v>
      </c>
      <c r="N797" s="223">
        <v>490854</v>
      </c>
      <c r="O797" s="132" t="s">
        <v>244</v>
      </c>
      <c r="P797" s="132" t="s">
        <v>245</v>
      </c>
      <c r="Q797" s="133">
        <v>55</v>
      </c>
      <c r="R797" s="132" t="s">
        <v>279</v>
      </c>
      <c r="S797" s="132" t="s">
        <v>11</v>
      </c>
      <c r="T797" s="134">
        <v>42246</v>
      </c>
      <c r="U797" s="172">
        <f t="shared" si="46"/>
        <v>2015</v>
      </c>
      <c r="V797" s="172">
        <f t="shared" si="47"/>
        <v>8</v>
      </c>
      <c r="W797" s="44" t="s">
        <v>291</v>
      </c>
      <c r="X797" t="s">
        <v>892</v>
      </c>
      <c r="Y797">
        <v>1</v>
      </c>
      <c r="AA797" s="13">
        <f t="shared" si="45"/>
        <v>105208</v>
      </c>
      <c r="AE797" s="43"/>
      <c r="AL797" s="87" t="s">
        <v>819</v>
      </c>
      <c r="AM797" s="86">
        <v>441351</v>
      </c>
    </row>
    <row r="798" spans="13:39" hidden="1">
      <c r="M798" s="131">
        <v>105440</v>
      </c>
      <c r="N798" s="223">
        <v>546351</v>
      </c>
      <c r="O798" s="132" t="s">
        <v>244</v>
      </c>
      <c r="P798" s="132" t="s">
        <v>245</v>
      </c>
      <c r="Q798" s="133">
        <v>1210</v>
      </c>
      <c r="R798" s="132" t="s">
        <v>279</v>
      </c>
      <c r="S798" s="132" t="s">
        <v>11</v>
      </c>
      <c r="T798" s="134">
        <v>42548</v>
      </c>
      <c r="U798" s="172">
        <f t="shared" si="46"/>
        <v>2016</v>
      </c>
      <c r="V798" s="172">
        <f t="shared" si="47"/>
        <v>6</v>
      </c>
      <c r="W798" s="44" t="s">
        <v>280</v>
      </c>
      <c r="X798" t="s">
        <v>892</v>
      </c>
      <c r="Y798">
        <v>1</v>
      </c>
      <c r="AA798" s="13">
        <f t="shared" si="45"/>
        <v>105440</v>
      </c>
      <c r="AE798" s="43"/>
      <c r="AL798" s="87" t="s">
        <v>819</v>
      </c>
      <c r="AM798" s="86">
        <v>441351</v>
      </c>
    </row>
    <row r="799" spans="13:39" hidden="1">
      <c r="M799" s="131">
        <v>105500</v>
      </c>
      <c r="N799" s="223">
        <v>554324</v>
      </c>
      <c r="O799" s="132" t="s">
        <v>244</v>
      </c>
      <c r="P799" s="132" t="s">
        <v>245</v>
      </c>
      <c r="Q799" s="133">
        <v>1416</v>
      </c>
      <c r="R799" s="132" t="s">
        <v>279</v>
      </c>
      <c r="S799" s="132" t="s">
        <v>11</v>
      </c>
      <c r="T799" s="134">
        <v>42548</v>
      </c>
      <c r="U799" s="172">
        <f t="shared" si="46"/>
        <v>2016</v>
      </c>
      <c r="V799" s="172">
        <f t="shared" si="47"/>
        <v>6</v>
      </c>
      <c r="W799" s="44" t="s">
        <v>280</v>
      </c>
      <c r="X799" t="s">
        <v>892</v>
      </c>
      <c r="Y799">
        <v>1</v>
      </c>
      <c r="AA799" s="13">
        <f t="shared" si="45"/>
        <v>105500</v>
      </c>
      <c r="AE799" s="43"/>
      <c r="AL799" s="87" t="s">
        <v>819</v>
      </c>
      <c r="AM799" s="86">
        <v>441351</v>
      </c>
    </row>
    <row r="800" spans="13:39" hidden="1">
      <c r="M800" s="131">
        <v>105500</v>
      </c>
      <c r="N800" s="223">
        <v>577106</v>
      </c>
      <c r="O800" s="132" t="s">
        <v>244</v>
      </c>
      <c r="P800" s="132" t="s">
        <v>245</v>
      </c>
      <c r="Q800" s="133">
        <v>1084</v>
      </c>
      <c r="R800" s="132" t="s">
        <v>279</v>
      </c>
      <c r="S800" s="132" t="s">
        <v>11</v>
      </c>
      <c r="T800" s="134">
        <v>42548</v>
      </c>
      <c r="U800" s="172">
        <f t="shared" si="46"/>
        <v>2016</v>
      </c>
      <c r="V800" s="172">
        <f t="shared" si="47"/>
        <v>6</v>
      </c>
      <c r="W800" s="44" t="s">
        <v>280</v>
      </c>
      <c r="X800" t="s">
        <v>892</v>
      </c>
      <c r="Y800">
        <v>1</v>
      </c>
      <c r="AA800" s="13">
        <f t="shared" si="45"/>
        <v>105500</v>
      </c>
      <c r="AE800" s="43"/>
      <c r="AL800" s="87" t="s">
        <v>819</v>
      </c>
      <c r="AM800" s="86">
        <v>441351</v>
      </c>
    </row>
    <row r="801" spans="13:39" hidden="1">
      <c r="M801" s="131">
        <v>105555</v>
      </c>
      <c r="N801" s="223">
        <v>480447</v>
      </c>
      <c r="O801" s="132" t="s">
        <v>244</v>
      </c>
      <c r="P801" s="132" t="s">
        <v>245</v>
      </c>
      <c r="Q801" s="133">
        <v>147</v>
      </c>
      <c r="R801" s="132" t="s">
        <v>279</v>
      </c>
      <c r="S801" s="132" t="s">
        <v>11</v>
      </c>
      <c r="T801" s="134">
        <v>42246</v>
      </c>
      <c r="U801" s="172">
        <f t="shared" si="46"/>
        <v>2015</v>
      </c>
      <c r="V801" s="172">
        <f t="shared" si="47"/>
        <v>8</v>
      </c>
      <c r="W801" s="44" t="s">
        <v>291</v>
      </c>
      <c r="X801" t="s">
        <v>892</v>
      </c>
      <c r="Y801">
        <v>1</v>
      </c>
      <c r="AA801" s="13">
        <f t="shared" si="45"/>
        <v>105555</v>
      </c>
      <c r="AE801" s="43"/>
      <c r="AL801" s="87" t="s">
        <v>819</v>
      </c>
      <c r="AM801" s="86">
        <v>441357</v>
      </c>
    </row>
    <row r="802" spans="13:39" hidden="1">
      <c r="M802" s="131">
        <v>105630</v>
      </c>
      <c r="N802" s="223">
        <v>490359</v>
      </c>
      <c r="O802" s="132" t="s">
        <v>244</v>
      </c>
      <c r="P802" s="132" t="s">
        <v>245</v>
      </c>
      <c r="Q802" s="133">
        <v>300</v>
      </c>
      <c r="R802" s="132" t="s">
        <v>279</v>
      </c>
      <c r="S802" s="132" t="s">
        <v>11</v>
      </c>
      <c r="T802" s="134">
        <v>42246</v>
      </c>
      <c r="U802" s="172">
        <f t="shared" si="46"/>
        <v>2015</v>
      </c>
      <c r="V802" s="172">
        <f t="shared" si="47"/>
        <v>8</v>
      </c>
      <c r="W802" s="44" t="s">
        <v>291</v>
      </c>
      <c r="X802" t="s">
        <v>892</v>
      </c>
      <c r="Y802">
        <v>1</v>
      </c>
      <c r="AA802" s="13">
        <f t="shared" si="45"/>
        <v>105630</v>
      </c>
      <c r="AE802" s="43"/>
      <c r="AL802" s="87" t="s">
        <v>819</v>
      </c>
      <c r="AM802" s="86">
        <v>44217153</v>
      </c>
    </row>
    <row r="803" spans="13:39" hidden="1">
      <c r="M803" s="131">
        <v>105650</v>
      </c>
      <c r="N803" s="223">
        <v>493333</v>
      </c>
      <c r="O803" s="132" t="s">
        <v>244</v>
      </c>
      <c r="P803" s="132" t="s">
        <v>245</v>
      </c>
      <c r="Q803" s="133">
        <v>437</v>
      </c>
      <c r="R803" s="132" t="s">
        <v>279</v>
      </c>
      <c r="S803" s="132" t="s">
        <v>11</v>
      </c>
      <c r="T803" s="134">
        <v>42246</v>
      </c>
      <c r="U803" s="172">
        <f t="shared" si="46"/>
        <v>2015</v>
      </c>
      <c r="V803" s="172">
        <f t="shared" si="47"/>
        <v>8</v>
      </c>
      <c r="W803" s="44" t="s">
        <v>291</v>
      </c>
      <c r="X803" t="s">
        <v>892</v>
      </c>
      <c r="Y803">
        <v>1</v>
      </c>
      <c r="AA803" s="13">
        <f t="shared" si="45"/>
        <v>105650</v>
      </c>
      <c r="AE803" s="43"/>
      <c r="AL803" s="87" t="s">
        <v>819</v>
      </c>
      <c r="AM803" s="86">
        <v>442221</v>
      </c>
    </row>
    <row r="804" spans="13:39" hidden="1">
      <c r="M804" s="131">
        <v>105656</v>
      </c>
      <c r="N804" s="223">
        <v>480447</v>
      </c>
      <c r="O804" s="132" t="s">
        <v>244</v>
      </c>
      <c r="P804" s="132" t="s">
        <v>245</v>
      </c>
      <c r="Q804" s="133">
        <v>238</v>
      </c>
      <c r="R804" s="132" t="s">
        <v>279</v>
      </c>
      <c r="S804" s="132" t="s">
        <v>11</v>
      </c>
      <c r="T804" s="134">
        <v>42246</v>
      </c>
      <c r="U804" s="172">
        <f t="shared" si="46"/>
        <v>2015</v>
      </c>
      <c r="V804" s="172">
        <f t="shared" si="47"/>
        <v>8</v>
      </c>
      <c r="W804" s="44" t="s">
        <v>291</v>
      </c>
      <c r="X804" t="s">
        <v>892</v>
      </c>
      <c r="Y804">
        <v>1</v>
      </c>
      <c r="AA804" s="13">
        <f t="shared" si="45"/>
        <v>105656</v>
      </c>
      <c r="AE804" s="43"/>
      <c r="AL804" s="87" t="s">
        <v>819</v>
      </c>
      <c r="AM804" s="86">
        <v>442863</v>
      </c>
    </row>
    <row r="805" spans="13:39" hidden="1">
      <c r="M805" s="131">
        <v>105656</v>
      </c>
      <c r="N805" s="223">
        <v>480447</v>
      </c>
      <c r="O805" s="132" t="s">
        <v>244</v>
      </c>
      <c r="P805" s="132" t="s">
        <v>245</v>
      </c>
      <c r="Q805" s="133">
        <v>239</v>
      </c>
      <c r="R805" s="132" t="s">
        <v>279</v>
      </c>
      <c r="S805" s="132" t="s">
        <v>11</v>
      </c>
      <c r="T805" s="134">
        <v>42246</v>
      </c>
      <c r="U805" s="172">
        <f t="shared" si="46"/>
        <v>2015</v>
      </c>
      <c r="V805" s="172">
        <f t="shared" si="47"/>
        <v>8</v>
      </c>
      <c r="W805" s="44" t="s">
        <v>291</v>
      </c>
      <c r="X805" t="s">
        <v>892</v>
      </c>
      <c r="Y805">
        <v>1</v>
      </c>
      <c r="AA805" s="13">
        <f t="shared" si="45"/>
        <v>105656</v>
      </c>
      <c r="AE805" s="43"/>
      <c r="AL805" s="87" t="s">
        <v>819</v>
      </c>
      <c r="AM805" s="86">
        <v>442958</v>
      </c>
    </row>
    <row r="806" spans="13:39" hidden="1">
      <c r="M806" s="131">
        <v>105656</v>
      </c>
      <c r="N806" s="223">
        <v>483421</v>
      </c>
      <c r="O806" s="132" t="s">
        <v>244</v>
      </c>
      <c r="P806" s="132" t="s">
        <v>245</v>
      </c>
      <c r="Q806" s="133">
        <v>240</v>
      </c>
      <c r="R806" s="132" t="s">
        <v>279</v>
      </c>
      <c r="S806" s="132" t="s">
        <v>11</v>
      </c>
      <c r="T806" s="134">
        <v>42246</v>
      </c>
      <c r="U806" s="172">
        <f t="shared" si="46"/>
        <v>2015</v>
      </c>
      <c r="V806" s="172">
        <f t="shared" si="47"/>
        <v>8</v>
      </c>
      <c r="W806" s="44" t="s">
        <v>291</v>
      </c>
      <c r="X806" t="s">
        <v>892</v>
      </c>
      <c r="Y806">
        <v>1</v>
      </c>
      <c r="AA806" s="13">
        <f t="shared" si="45"/>
        <v>105656</v>
      </c>
      <c r="AE806" s="43"/>
      <c r="AL806" s="87" t="s">
        <v>819</v>
      </c>
      <c r="AM806" s="86">
        <v>442958</v>
      </c>
    </row>
    <row r="807" spans="13:39" hidden="1">
      <c r="M807" s="131">
        <v>105666</v>
      </c>
      <c r="N807" s="223">
        <v>493333</v>
      </c>
      <c r="O807" s="132" t="s">
        <v>244</v>
      </c>
      <c r="P807" s="132" t="s">
        <v>245</v>
      </c>
      <c r="Q807" s="133">
        <v>197</v>
      </c>
      <c r="R807" s="132" t="s">
        <v>279</v>
      </c>
      <c r="S807" s="132" t="s">
        <v>11</v>
      </c>
      <c r="T807" s="134">
        <v>42246</v>
      </c>
      <c r="U807" s="172">
        <f t="shared" si="46"/>
        <v>2015</v>
      </c>
      <c r="V807" s="172">
        <f t="shared" si="47"/>
        <v>8</v>
      </c>
      <c r="W807" s="44" t="s">
        <v>291</v>
      </c>
      <c r="X807" t="s">
        <v>892</v>
      </c>
      <c r="Y807">
        <v>1</v>
      </c>
      <c r="AA807" s="13">
        <f t="shared" si="45"/>
        <v>105666</v>
      </c>
      <c r="AE807" s="43"/>
      <c r="AL807" s="87" t="s">
        <v>819</v>
      </c>
      <c r="AM807" s="86">
        <v>442958</v>
      </c>
    </row>
    <row r="808" spans="13:39" hidden="1">
      <c r="M808" s="131">
        <v>105666</v>
      </c>
      <c r="N808" s="223">
        <v>493333</v>
      </c>
      <c r="O808" s="132" t="s">
        <v>244</v>
      </c>
      <c r="P808" s="132" t="s">
        <v>245</v>
      </c>
      <c r="Q808" s="133">
        <v>198</v>
      </c>
      <c r="R808" s="132" t="s">
        <v>279</v>
      </c>
      <c r="S808" s="132" t="s">
        <v>11</v>
      </c>
      <c r="T808" s="134">
        <v>42246</v>
      </c>
      <c r="U808" s="172">
        <f t="shared" si="46"/>
        <v>2015</v>
      </c>
      <c r="V808" s="172">
        <f t="shared" si="47"/>
        <v>8</v>
      </c>
      <c r="W808" s="44" t="s">
        <v>291</v>
      </c>
      <c r="X808" t="s">
        <v>892</v>
      </c>
      <c r="Y808">
        <v>1</v>
      </c>
      <c r="AA808" s="13">
        <f t="shared" si="45"/>
        <v>105666</v>
      </c>
      <c r="AE808" s="43"/>
      <c r="AL808" s="87" t="s">
        <v>819</v>
      </c>
      <c r="AM808" s="86">
        <v>442958</v>
      </c>
    </row>
    <row r="809" spans="13:39" hidden="1">
      <c r="M809" s="131">
        <v>105700</v>
      </c>
      <c r="N809" s="223">
        <v>549200</v>
      </c>
      <c r="O809" s="132" t="s">
        <v>244</v>
      </c>
      <c r="P809" s="132" t="s">
        <v>245</v>
      </c>
      <c r="Q809" s="133">
        <v>1323</v>
      </c>
      <c r="R809" s="132" t="s">
        <v>279</v>
      </c>
      <c r="S809" s="132" t="s">
        <v>11</v>
      </c>
      <c r="T809" s="134">
        <v>42548</v>
      </c>
      <c r="U809" s="172">
        <f t="shared" si="46"/>
        <v>2016</v>
      </c>
      <c r="V809" s="172">
        <f t="shared" si="47"/>
        <v>6</v>
      </c>
      <c r="W809" s="44" t="s">
        <v>280</v>
      </c>
      <c r="X809" t="s">
        <v>892</v>
      </c>
      <c r="Y809">
        <v>1</v>
      </c>
      <c r="AA809" s="13">
        <f t="shared" si="45"/>
        <v>105700</v>
      </c>
      <c r="AE809" s="43"/>
      <c r="AL809" s="87" t="s">
        <v>819</v>
      </c>
      <c r="AM809" s="86">
        <v>442958</v>
      </c>
    </row>
    <row r="810" spans="13:39" hidden="1">
      <c r="M810" s="131">
        <v>105897</v>
      </c>
      <c r="N810" s="223">
        <v>514148</v>
      </c>
      <c r="O810" s="132" t="s">
        <v>244</v>
      </c>
      <c r="P810" s="132" t="s">
        <v>245</v>
      </c>
      <c r="Q810" s="133">
        <v>373</v>
      </c>
      <c r="R810" s="132" t="s">
        <v>279</v>
      </c>
      <c r="S810" s="132" t="s">
        <v>11</v>
      </c>
      <c r="T810" s="134">
        <v>42246</v>
      </c>
      <c r="U810" s="172">
        <f t="shared" si="46"/>
        <v>2015</v>
      </c>
      <c r="V810" s="172">
        <f t="shared" si="47"/>
        <v>8</v>
      </c>
      <c r="W810" s="44" t="s">
        <v>291</v>
      </c>
      <c r="X810" t="s">
        <v>892</v>
      </c>
      <c r="Y810">
        <v>1</v>
      </c>
      <c r="AA810" s="13">
        <f t="shared" si="45"/>
        <v>105897</v>
      </c>
      <c r="AE810" s="43"/>
      <c r="AL810" s="87" t="s">
        <v>819</v>
      </c>
      <c r="AM810" s="86">
        <v>442958</v>
      </c>
    </row>
    <row r="811" spans="13:39" hidden="1">
      <c r="M811" s="131">
        <v>106000</v>
      </c>
      <c r="N811" s="223">
        <v>546921</v>
      </c>
      <c r="O811" s="132" t="s">
        <v>244</v>
      </c>
      <c r="P811" s="132" t="s">
        <v>245</v>
      </c>
      <c r="Q811" s="133">
        <v>1184</v>
      </c>
      <c r="R811" s="132" t="s">
        <v>279</v>
      </c>
      <c r="S811" s="132" t="s">
        <v>11</v>
      </c>
      <c r="T811" s="134">
        <v>42548</v>
      </c>
      <c r="U811" s="172">
        <f t="shared" si="46"/>
        <v>2016</v>
      </c>
      <c r="V811" s="172">
        <f t="shared" si="47"/>
        <v>6</v>
      </c>
      <c r="W811" s="44" t="s">
        <v>280</v>
      </c>
      <c r="X811" t="s">
        <v>892</v>
      </c>
      <c r="Y811">
        <v>1</v>
      </c>
      <c r="AA811" s="13">
        <f t="shared" si="45"/>
        <v>106000</v>
      </c>
      <c r="AE811" s="43"/>
      <c r="AL811" s="87" t="s">
        <v>819</v>
      </c>
      <c r="AM811" s="86">
        <v>442958</v>
      </c>
    </row>
    <row r="812" spans="13:39" hidden="1">
      <c r="M812" s="131">
        <v>106000</v>
      </c>
      <c r="N812" s="223">
        <v>546921</v>
      </c>
      <c r="O812" s="132" t="s">
        <v>244</v>
      </c>
      <c r="P812" s="132" t="s">
        <v>245</v>
      </c>
      <c r="Q812" s="133">
        <v>1187</v>
      </c>
      <c r="R812" s="132" t="s">
        <v>279</v>
      </c>
      <c r="S812" s="132" t="s">
        <v>11</v>
      </c>
      <c r="T812" s="134">
        <v>42548</v>
      </c>
      <c r="U812" s="172">
        <f t="shared" si="46"/>
        <v>2016</v>
      </c>
      <c r="V812" s="172">
        <f t="shared" si="47"/>
        <v>6</v>
      </c>
      <c r="W812" s="44" t="s">
        <v>280</v>
      </c>
      <c r="X812" t="s">
        <v>892</v>
      </c>
      <c r="Y812">
        <v>1</v>
      </c>
      <c r="AA812" s="13">
        <f t="shared" si="45"/>
        <v>106000</v>
      </c>
      <c r="AE812" s="43"/>
      <c r="AL812" s="87" t="s">
        <v>819</v>
      </c>
      <c r="AM812" s="86">
        <v>443442</v>
      </c>
    </row>
    <row r="813" spans="13:39" hidden="1">
      <c r="M813" s="131">
        <v>106050</v>
      </c>
      <c r="N813" s="223">
        <v>546921</v>
      </c>
      <c r="O813" s="132" t="s">
        <v>244</v>
      </c>
      <c r="P813" s="132" t="s">
        <v>245</v>
      </c>
      <c r="Q813" s="133">
        <v>1183</v>
      </c>
      <c r="R813" s="132" t="s">
        <v>279</v>
      </c>
      <c r="S813" s="132" t="s">
        <v>11</v>
      </c>
      <c r="T813" s="134">
        <v>42548</v>
      </c>
      <c r="U813" s="172">
        <f t="shared" si="46"/>
        <v>2016</v>
      </c>
      <c r="V813" s="172">
        <f t="shared" si="47"/>
        <v>6</v>
      </c>
      <c r="W813" s="44" t="s">
        <v>280</v>
      </c>
      <c r="X813" t="s">
        <v>892</v>
      </c>
      <c r="Y813">
        <v>1</v>
      </c>
      <c r="AA813" s="13">
        <f t="shared" si="45"/>
        <v>106050</v>
      </c>
      <c r="AE813" s="43"/>
      <c r="AL813" s="87" t="s">
        <v>819</v>
      </c>
      <c r="AM813" s="86">
        <v>443442</v>
      </c>
    </row>
    <row r="814" spans="13:39" hidden="1">
      <c r="M814" s="131">
        <v>106060</v>
      </c>
      <c r="N814" s="223">
        <v>558313</v>
      </c>
      <c r="O814" s="132" t="s">
        <v>244</v>
      </c>
      <c r="P814" s="132" t="s">
        <v>245</v>
      </c>
      <c r="Q814" s="133">
        <v>1326</v>
      </c>
      <c r="R814" s="132" t="s">
        <v>279</v>
      </c>
      <c r="S814" s="132" t="s">
        <v>11</v>
      </c>
      <c r="T814" s="134">
        <v>42548</v>
      </c>
      <c r="U814" s="172">
        <f t="shared" si="46"/>
        <v>2016</v>
      </c>
      <c r="V814" s="172">
        <f t="shared" si="47"/>
        <v>6</v>
      </c>
      <c r="W814" s="44" t="s">
        <v>280</v>
      </c>
      <c r="X814" t="s">
        <v>892</v>
      </c>
      <c r="Y814">
        <v>1</v>
      </c>
      <c r="AA814" s="13">
        <f t="shared" si="45"/>
        <v>106060</v>
      </c>
      <c r="AE814" s="43"/>
      <c r="AL814" s="87" t="s">
        <v>819</v>
      </c>
      <c r="AM814" s="86">
        <v>444147</v>
      </c>
    </row>
    <row r="815" spans="13:39" hidden="1">
      <c r="M815" s="131">
        <v>106447</v>
      </c>
      <c r="N815" s="223">
        <v>486394</v>
      </c>
      <c r="O815" s="132" t="s">
        <v>244</v>
      </c>
      <c r="P815" s="132" t="s">
        <v>245</v>
      </c>
      <c r="Q815" s="133">
        <v>214</v>
      </c>
      <c r="R815" s="132" t="s">
        <v>279</v>
      </c>
      <c r="S815" s="132" t="s">
        <v>11</v>
      </c>
      <c r="T815" s="134">
        <v>42246</v>
      </c>
      <c r="U815" s="172">
        <f t="shared" si="46"/>
        <v>2015</v>
      </c>
      <c r="V815" s="172">
        <f t="shared" si="47"/>
        <v>8</v>
      </c>
      <c r="W815" s="44" t="s">
        <v>291</v>
      </c>
      <c r="X815" t="s">
        <v>892</v>
      </c>
      <c r="Y815">
        <v>1</v>
      </c>
      <c r="AA815" s="13">
        <f t="shared" si="45"/>
        <v>106447</v>
      </c>
      <c r="AE815" s="43"/>
      <c r="AL815" s="87" t="s">
        <v>819</v>
      </c>
      <c r="AM815" s="86">
        <v>444795</v>
      </c>
    </row>
    <row r="816" spans="13:39" hidden="1">
      <c r="M816" s="131">
        <v>107000</v>
      </c>
      <c r="N816" s="223">
        <v>493333</v>
      </c>
      <c r="O816" s="132" t="s">
        <v>244</v>
      </c>
      <c r="P816" s="132" t="s">
        <v>245</v>
      </c>
      <c r="Q816" s="133">
        <v>355</v>
      </c>
      <c r="R816" s="132" t="s">
        <v>279</v>
      </c>
      <c r="S816" s="132" t="s">
        <v>11</v>
      </c>
      <c r="T816" s="134">
        <v>42246</v>
      </c>
      <c r="U816" s="172">
        <f t="shared" si="46"/>
        <v>2015</v>
      </c>
      <c r="V816" s="172">
        <f t="shared" si="47"/>
        <v>8</v>
      </c>
      <c r="W816" s="44" t="s">
        <v>291</v>
      </c>
      <c r="X816" t="s">
        <v>892</v>
      </c>
      <c r="Y816">
        <v>1</v>
      </c>
      <c r="AA816" s="13">
        <f t="shared" si="45"/>
        <v>107000</v>
      </c>
      <c r="AE816" s="43"/>
      <c r="AL816" s="87" t="s">
        <v>819</v>
      </c>
      <c r="AM816" s="86">
        <v>445411</v>
      </c>
    </row>
    <row r="817" spans="13:39" hidden="1">
      <c r="M817" s="131">
        <v>107000</v>
      </c>
      <c r="N817" s="223">
        <v>544074</v>
      </c>
      <c r="O817" s="132" t="s">
        <v>244</v>
      </c>
      <c r="P817" s="132" t="s">
        <v>245</v>
      </c>
      <c r="Q817" s="133">
        <v>1321</v>
      </c>
      <c r="R817" s="132" t="s">
        <v>279</v>
      </c>
      <c r="S817" s="132" t="s">
        <v>11</v>
      </c>
      <c r="T817" s="134">
        <v>42548</v>
      </c>
      <c r="U817" s="172">
        <f t="shared" si="46"/>
        <v>2016</v>
      </c>
      <c r="V817" s="172">
        <f t="shared" si="47"/>
        <v>6</v>
      </c>
      <c r="W817" s="44" t="s">
        <v>280</v>
      </c>
      <c r="X817" t="s">
        <v>892</v>
      </c>
      <c r="Y817">
        <v>1</v>
      </c>
      <c r="AA817" s="13">
        <f t="shared" si="45"/>
        <v>107000</v>
      </c>
      <c r="AE817" s="43"/>
      <c r="AL817" s="87" t="s">
        <v>819</v>
      </c>
      <c r="AM817" s="86">
        <v>445411</v>
      </c>
    </row>
    <row r="818" spans="13:39" hidden="1">
      <c r="M818" s="131">
        <v>107000</v>
      </c>
      <c r="N818" s="223">
        <v>554324</v>
      </c>
      <c r="O818" s="132" t="s">
        <v>244</v>
      </c>
      <c r="P818" s="132" t="s">
        <v>245</v>
      </c>
      <c r="Q818" s="133">
        <v>1242</v>
      </c>
      <c r="R818" s="132" t="s">
        <v>279</v>
      </c>
      <c r="S818" s="132" t="s">
        <v>11</v>
      </c>
      <c r="T818" s="134">
        <v>42548</v>
      </c>
      <c r="U818" s="172">
        <f t="shared" si="46"/>
        <v>2016</v>
      </c>
      <c r="V818" s="172">
        <f t="shared" si="47"/>
        <v>6</v>
      </c>
      <c r="W818" s="44" t="s">
        <v>280</v>
      </c>
      <c r="X818" t="s">
        <v>892</v>
      </c>
      <c r="Y818">
        <v>1</v>
      </c>
      <c r="AA818" s="13">
        <f t="shared" si="45"/>
        <v>107000</v>
      </c>
      <c r="AE818" s="43"/>
      <c r="AL818" s="87" t="s">
        <v>819</v>
      </c>
      <c r="AM818" s="86">
        <v>445411</v>
      </c>
    </row>
    <row r="819" spans="13:39" hidden="1">
      <c r="M819" s="131">
        <v>107000</v>
      </c>
      <c r="N819" s="223">
        <v>569435</v>
      </c>
      <c r="O819" s="132" t="s">
        <v>244</v>
      </c>
      <c r="P819" s="132" t="s">
        <v>245</v>
      </c>
      <c r="Q819" s="133">
        <v>1300</v>
      </c>
      <c r="R819" s="132" t="s">
        <v>279</v>
      </c>
      <c r="S819" s="132" t="s">
        <v>11</v>
      </c>
      <c r="T819" s="134">
        <v>42548</v>
      </c>
      <c r="U819" s="172">
        <f t="shared" si="46"/>
        <v>2016</v>
      </c>
      <c r="V819" s="172">
        <f t="shared" si="47"/>
        <v>6</v>
      </c>
      <c r="W819" s="44" t="s">
        <v>280</v>
      </c>
      <c r="X819" t="s">
        <v>892</v>
      </c>
      <c r="Y819">
        <v>1</v>
      </c>
      <c r="AA819" s="13">
        <f t="shared" si="45"/>
        <v>107000</v>
      </c>
      <c r="AE819" s="43"/>
      <c r="AL819" s="87" t="s">
        <v>819</v>
      </c>
      <c r="AM819" s="86">
        <v>445694</v>
      </c>
    </row>
    <row r="820" spans="13:39" hidden="1">
      <c r="M820" s="131">
        <v>107247</v>
      </c>
      <c r="N820" s="223">
        <v>488873</v>
      </c>
      <c r="O820" s="132" t="s">
        <v>244</v>
      </c>
      <c r="P820" s="132" t="s">
        <v>245</v>
      </c>
      <c r="Q820" s="133">
        <v>17</v>
      </c>
      <c r="R820" s="132" t="s">
        <v>279</v>
      </c>
      <c r="S820" s="132" t="s">
        <v>11</v>
      </c>
      <c r="T820" s="134">
        <v>42246</v>
      </c>
      <c r="U820" s="172">
        <f t="shared" si="46"/>
        <v>2015</v>
      </c>
      <c r="V820" s="172">
        <f t="shared" si="47"/>
        <v>8</v>
      </c>
      <c r="W820" s="44" t="s">
        <v>291</v>
      </c>
      <c r="X820" t="s">
        <v>892</v>
      </c>
      <c r="Y820">
        <v>1</v>
      </c>
      <c r="AA820" s="13">
        <f t="shared" si="45"/>
        <v>107247</v>
      </c>
      <c r="AE820" s="43"/>
      <c r="AL820" s="87" t="s">
        <v>819</v>
      </c>
      <c r="AM820" s="86">
        <v>445879</v>
      </c>
    </row>
    <row r="821" spans="13:39" hidden="1">
      <c r="M821" s="131">
        <v>107300</v>
      </c>
      <c r="N821" s="223">
        <v>575967</v>
      </c>
      <c r="O821" s="132" t="s">
        <v>244</v>
      </c>
      <c r="P821" s="132" t="s">
        <v>245</v>
      </c>
      <c r="Q821" s="133">
        <v>1223</v>
      </c>
      <c r="R821" s="132" t="s">
        <v>279</v>
      </c>
      <c r="S821" s="132" t="s">
        <v>11</v>
      </c>
      <c r="T821" s="134">
        <v>42548</v>
      </c>
      <c r="U821" s="172">
        <f t="shared" si="46"/>
        <v>2016</v>
      </c>
      <c r="V821" s="172">
        <f t="shared" si="47"/>
        <v>6</v>
      </c>
      <c r="W821" s="44" t="s">
        <v>280</v>
      </c>
      <c r="X821" t="s">
        <v>892</v>
      </c>
      <c r="Y821">
        <v>1</v>
      </c>
      <c r="AA821" s="13">
        <f t="shared" si="45"/>
        <v>107300</v>
      </c>
      <c r="AE821" s="43"/>
      <c r="AL821" s="87" t="s">
        <v>819</v>
      </c>
      <c r="AM821" s="86">
        <v>445984</v>
      </c>
    </row>
    <row r="822" spans="13:39" hidden="1">
      <c r="M822" s="131">
        <v>107308</v>
      </c>
      <c r="N822" s="223">
        <v>488377</v>
      </c>
      <c r="O822" s="132" t="s">
        <v>244</v>
      </c>
      <c r="P822" s="132" t="s">
        <v>245</v>
      </c>
      <c r="Q822" s="133">
        <v>24</v>
      </c>
      <c r="R822" s="132" t="s">
        <v>279</v>
      </c>
      <c r="S822" s="132" t="s">
        <v>11</v>
      </c>
      <c r="T822" s="134">
        <v>42246</v>
      </c>
      <c r="U822" s="172">
        <f t="shared" si="46"/>
        <v>2015</v>
      </c>
      <c r="V822" s="172">
        <f t="shared" si="47"/>
        <v>8</v>
      </c>
      <c r="W822" s="44" t="s">
        <v>291</v>
      </c>
      <c r="X822" t="s">
        <v>892</v>
      </c>
      <c r="Y822">
        <v>1</v>
      </c>
      <c r="AA822" s="13">
        <f t="shared" si="45"/>
        <v>107308</v>
      </c>
      <c r="AE822" s="43"/>
      <c r="AL822" s="87" t="s">
        <v>819</v>
      </c>
      <c r="AM822" s="86">
        <v>445984</v>
      </c>
    </row>
    <row r="823" spans="13:39" hidden="1">
      <c r="M823" s="131">
        <v>107355</v>
      </c>
      <c r="N823" s="223">
        <v>497793</v>
      </c>
      <c r="O823" s="132" t="s">
        <v>244</v>
      </c>
      <c r="P823" s="132" t="s">
        <v>245</v>
      </c>
      <c r="Q823" s="133">
        <v>335</v>
      </c>
      <c r="R823" s="132" t="s">
        <v>279</v>
      </c>
      <c r="S823" s="132" t="s">
        <v>11</v>
      </c>
      <c r="T823" s="134">
        <v>42246</v>
      </c>
      <c r="U823" s="172">
        <f t="shared" si="46"/>
        <v>2015</v>
      </c>
      <c r="V823" s="172">
        <f t="shared" si="47"/>
        <v>8</v>
      </c>
      <c r="W823" s="44" t="s">
        <v>291</v>
      </c>
      <c r="X823" t="s">
        <v>892</v>
      </c>
      <c r="Y823">
        <v>1</v>
      </c>
      <c r="AA823" s="13">
        <f t="shared" si="45"/>
        <v>107355</v>
      </c>
      <c r="AE823" s="43"/>
      <c r="AL823" s="87" t="s">
        <v>819</v>
      </c>
      <c r="AM823" s="86">
        <v>445984</v>
      </c>
    </row>
    <row r="824" spans="13:39" hidden="1">
      <c r="M824" s="131">
        <v>107777</v>
      </c>
      <c r="N824" s="223">
        <v>553187</v>
      </c>
      <c r="O824" s="132" t="s">
        <v>244</v>
      </c>
      <c r="P824" s="132" t="s">
        <v>245</v>
      </c>
      <c r="Q824" s="133">
        <v>507</v>
      </c>
      <c r="R824" s="132" t="s">
        <v>279</v>
      </c>
      <c r="S824" s="132" t="s">
        <v>11</v>
      </c>
      <c r="T824" s="134">
        <v>42548</v>
      </c>
      <c r="U824" s="172">
        <f t="shared" si="46"/>
        <v>2016</v>
      </c>
      <c r="V824" s="172">
        <f t="shared" si="47"/>
        <v>6</v>
      </c>
      <c r="W824" s="44" t="s">
        <v>280</v>
      </c>
      <c r="X824" t="s">
        <v>892</v>
      </c>
      <c r="Y824">
        <v>1</v>
      </c>
      <c r="AA824" s="13">
        <f t="shared" si="45"/>
        <v>107777</v>
      </c>
      <c r="AE824" s="43"/>
      <c r="AL824" s="87" t="s">
        <v>819</v>
      </c>
      <c r="AM824" s="86">
        <v>445984</v>
      </c>
    </row>
    <row r="825" spans="13:39" hidden="1">
      <c r="M825" s="131">
        <v>107777</v>
      </c>
      <c r="N825" s="223">
        <v>568563</v>
      </c>
      <c r="O825" s="132" t="s">
        <v>244</v>
      </c>
      <c r="P825" s="132" t="s">
        <v>245</v>
      </c>
      <c r="Q825" s="133">
        <v>370</v>
      </c>
      <c r="R825" s="132" t="s">
        <v>279</v>
      </c>
      <c r="S825" s="132" t="s">
        <v>11</v>
      </c>
      <c r="T825" s="134">
        <v>42548</v>
      </c>
      <c r="U825" s="172">
        <f t="shared" si="46"/>
        <v>2016</v>
      </c>
      <c r="V825" s="172">
        <f t="shared" si="47"/>
        <v>6</v>
      </c>
      <c r="W825" s="44" t="s">
        <v>280</v>
      </c>
      <c r="X825" t="s">
        <v>892</v>
      </c>
      <c r="Y825">
        <v>1</v>
      </c>
      <c r="AA825" s="13">
        <f t="shared" si="45"/>
        <v>107777</v>
      </c>
      <c r="AE825" s="43"/>
      <c r="AL825" s="87" t="s">
        <v>819</v>
      </c>
      <c r="AM825" s="86">
        <v>445984</v>
      </c>
    </row>
    <row r="826" spans="13:39" hidden="1">
      <c r="M826" s="131">
        <v>107820</v>
      </c>
      <c r="N826" s="223">
        <v>562868</v>
      </c>
      <c r="O826" s="132" t="s">
        <v>244</v>
      </c>
      <c r="P826" s="132" t="s">
        <v>245</v>
      </c>
      <c r="Q826" s="133">
        <v>118</v>
      </c>
      <c r="R826" s="132" t="s">
        <v>279</v>
      </c>
      <c r="S826" s="132" t="s">
        <v>11</v>
      </c>
      <c r="T826" s="134">
        <v>42548</v>
      </c>
      <c r="U826" s="172">
        <f t="shared" si="46"/>
        <v>2016</v>
      </c>
      <c r="V826" s="172">
        <f t="shared" si="47"/>
        <v>6</v>
      </c>
      <c r="W826" s="44" t="s">
        <v>280</v>
      </c>
      <c r="X826" t="s">
        <v>892</v>
      </c>
      <c r="Y826">
        <v>1</v>
      </c>
      <c r="AA826" s="13">
        <f t="shared" si="45"/>
        <v>107820</v>
      </c>
      <c r="AE826" s="43"/>
      <c r="AL826" s="87" t="s">
        <v>819</v>
      </c>
      <c r="AM826" s="86">
        <v>445984</v>
      </c>
    </row>
    <row r="827" spans="13:39" hidden="1">
      <c r="M827" s="131">
        <v>108000</v>
      </c>
      <c r="N827" s="223">
        <v>551477</v>
      </c>
      <c r="O827" s="132" t="s">
        <v>244</v>
      </c>
      <c r="P827" s="132" t="s">
        <v>245</v>
      </c>
      <c r="Q827" s="133">
        <v>1290</v>
      </c>
      <c r="R827" s="132" t="s">
        <v>279</v>
      </c>
      <c r="S827" s="132" t="s">
        <v>11</v>
      </c>
      <c r="T827" s="134">
        <v>42548</v>
      </c>
      <c r="U827" s="172">
        <f t="shared" si="46"/>
        <v>2016</v>
      </c>
      <c r="V827" s="172">
        <f t="shared" si="47"/>
        <v>6</v>
      </c>
      <c r="W827" s="44" t="s">
        <v>280</v>
      </c>
      <c r="X827" t="s">
        <v>892</v>
      </c>
      <c r="Y827">
        <v>1</v>
      </c>
      <c r="AA827" s="13">
        <f t="shared" si="45"/>
        <v>108000</v>
      </c>
      <c r="AE827" s="43"/>
      <c r="AL827" s="87" t="s">
        <v>819</v>
      </c>
      <c r="AM827" s="86">
        <v>445984</v>
      </c>
    </row>
    <row r="828" spans="13:39" hidden="1">
      <c r="M828" s="131">
        <v>108100</v>
      </c>
      <c r="N828" s="223">
        <v>482430</v>
      </c>
      <c r="O828" s="132" t="s">
        <v>244</v>
      </c>
      <c r="P828" s="132" t="s">
        <v>245</v>
      </c>
      <c r="Q828" s="133">
        <v>265</v>
      </c>
      <c r="R828" s="132" t="s">
        <v>279</v>
      </c>
      <c r="S828" s="132" t="s">
        <v>11</v>
      </c>
      <c r="T828" s="134">
        <v>42246</v>
      </c>
      <c r="U828" s="172">
        <f t="shared" si="46"/>
        <v>2015</v>
      </c>
      <c r="V828" s="172">
        <f t="shared" si="47"/>
        <v>8</v>
      </c>
      <c r="W828" s="44" t="s">
        <v>291</v>
      </c>
      <c r="X828" t="s">
        <v>892</v>
      </c>
      <c r="Y828">
        <v>1</v>
      </c>
      <c r="AA828" s="13">
        <f t="shared" si="45"/>
        <v>108100</v>
      </c>
      <c r="AE828" s="43"/>
      <c r="AL828" s="87" t="s">
        <v>819</v>
      </c>
      <c r="AM828" s="86">
        <v>445984</v>
      </c>
    </row>
    <row r="829" spans="13:39" hidden="1">
      <c r="M829" s="131">
        <v>108201</v>
      </c>
      <c r="N829" s="223">
        <v>493828</v>
      </c>
      <c r="O829" s="132" t="s">
        <v>244</v>
      </c>
      <c r="P829" s="132" t="s">
        <v>245</v>
      </c>
      <c r="Q829" s="133">
        <v>108</v>
      </c>
      <c r="R829" s="132" t="s">
        <v>279</v>
      </c>
      <c r="S829" s="132" t="s">
        <v>11</v>
      </c>
      <c r="T829" s="134">
        <v>42246</v>
      </c>
      <c r="U829" s="172">
        <f t="shared" si="46"/>
        <v>2015</v>
      </c>
      <c r="V829" s="172">
        <f t="shared" si="47"/>
        <v>8</v>
      </c>
      <c r="W829" s="44" t="s">
        <v>291</v>
      </c>
      <c r="X829" t="s">
        <v>892</v>
      </c>
      <c r="Y829">
        <v>1</v>
      </c>
      <c r="AA829" s="13">
        <f t="shared" si="45"/>
        <v>108201</v>
      </c>
      <c r="AE829" s="43"/>
      <c r="AL829" s="87" t="s">
        <v>819</v>
      </c>
      <c r="AM829" s="86">
        <v>445984</v>
      </c>
    </row>
    <row r="830" spans="13:39" hidden="1">
      <c r="M830" s="131">
        <v>108337</v>
      </c>
      <c r="N830" s="223">
        <v>487882</v>
      </c>
      <c r="O830" s="132" t="s">
        <v>244</v>
      </c>
      <c r="P830" s="132" t="s">
        <v>245</v>
      </c>
      <c r="Q830" s="133">
        <v>127</v>
      </c>
      <c r="R830" s="132" t="s">
        <v>279</v>
      </c>
      <c r="S830" s="132" t="s">
        <v>11</v>
      </c>
      <c r="T830" s="134">
        <v>42246</v>
      </c>
      <c r="U830" s="172">
        <f t="shared" si="46"/>
        <v>2015</v>
      </c>
      <c r="V830" s="172">
        <f t="shared" si="47"/>
        <v>8</v>
      </c>
      <c r="W830" s="44" t="s">
        <v>291</v>
      </c>
      <c r="X830" t="s">
        <v>892</v>
      </c>
      <c r="Y830">
        <v>1</v>
      </c>
      <c r="AA830" s="13">
        <f t="shared" si="45"/>
        <v>108337</v>
      </c>
      <c r="AE830" s="43"/>
      <c r="AL830" s="87" t="s">
        <v>819</v>
      </c>
      <c r="AM830" s="86">
        <v>446306</v>
      </c>
    </row>
    <row r="831" spans="13:39" hidden="1">
      <c r="M831" s="131">
        <v>108745</v>
      </c>
      <c r="N831" s="223">
        <v>485403</v>
      </c>
      <c r="O831" s="132" t="s">
        <v>244</v>
      </c>
      <c r="P831" s="132" t="s">
        <v>245</v>
      </c>
      <c r="Q831" s="133">
        <v>486</v>
      </c>
      <c r="R831" s="132" t="s">
        <v>279</v>
      </c>
      <c r="S831" s="132" t="s">
        <v>11</v>
      </c>
      <c r="T831" s="134">
        <v>42246</v>
      </c>
      <c r="U831" s="172">
        <f t="shared" si="46"/>
        <v>2015</v>
      </c>
      <c r="V831" s="172">
        <f t="shared" si="47"/>
        <v>8</v>
      </c>
      <c r="W831" s="44" t="s">
        <v>291</v>
      </c>
      <c r="X831" t="s">
        <v>892</v>
      </c>
      <c r="Y831">
        <v>1</v>
      </c>
      <c r="AA831" s="13">
        <f t="shared" si="45"/>
        <v>108745</v>
      </c>
      <c r="AE831" s="43"/>
      <c r="AL831" s="87" t="s">
        <v>819</v>
      </c>
      <c r="AM831" s="86">
        <v>446319</v>
      </c>
    </row>
    <row r="832" spans="13:39" hidden="1">
      <c r="M832" s="131">
        <v>108950</v>
      </c>
      <c r="N832" s="223">
        <v>487385</v>
      </c>
      <c r="O832" s="132" t="s">
        <v>244</v>
      </c>
      <c r="P832" s="132" t="s">
        <v>245</v>
      </c>
      <c r="Q832" s="133">
        <v>29</v>
      </c>
      <c r="R832" s="132" t="s">
        <v>279</v>
      </c>
      <c r="S832" s="132" t="s">
        <v>11</v>
      </c>
      <c r="T832" s="134">
        <v>42246</v>
      </c>
      <c r="U832" s="172">
        <f t="shared" si="46"/>
        <v>2015</v>
      </c>
      <c r="V832" s="172">
        <f t="shared" si="47"/>
        <v>8</v>
      </c>
      <c r="W832" s="44" t="s">
        <v>291</v>
      </c>
      <c r="X832" t="s">
        <v>892</v>
      </c>
      <c r="Y832">
        <v>1</v>
      </c>
      <c r="AA832" s="13">
        <f t="shared" si="45"/>
        <v>108950</v>
      </c>
      <c r="AE832" s="43"/>
      <c r="AL832" s="87" t="s">
        <v>819</v>
      </c>
      <c r="AM832" s="86">
        <v>447173</v>
      </c>
    </row>
    <row r="833" spans="13:39" hidden="1">
      <c r="M833" s="131">
        <v>108999</v>
      </c>
      <c r="N833" s="223">
        <v>570841</v>
      </c>
      <c r="O833" s="132" t="s">
        <v>244</v>
      </c>
      <c r="P833" s="132" t="s">
        <v>245</v>
      </c>
      <c r="Q833" s="133">
        <v>519</v>
      </c>
      <c r="R833" s="132" t="s">
        <v>279</v>
      </c>
      <c r="S833" s="132" t="s">
        <v>11</v>
      </c>
      <c r="T833" s="134">
        <v>42548</v>
      </c>
      <c r="U833" s="172">
        <f t="shared" si="46"/>
        <v>2016</v>
      </c>
      <c r="V833" s="172">
        <f t="shared" si="47"/>
        <v>6</v>
      </c>
      <c r="W833" s="44" t="s">
        <v>280</v>
      </c>
      <c r="X833" t="s">
        <v>892</v>
      </c>
      <c r="Y833">
        <v>1</v>
      </c>
      <c r="AA833" s="13">
        <f t="shared" si="45"/>
        <v>108999</v>
      </c>
      <c r="AE833" s="43"/>
      <c r="AL833" s="87" t="s">
        <v>819</v>
      </c>
      <c r="AM833" s="86">
        <v>447173</v>
      </c>
    </row>
    <row r="834" spans="13:39" hidden="1">
      <c r="M834" s="131">
        <v>109000</v>
      </c>
      <c r="N834" s="223">
        <v>491845</v>
      </c>
      <c r="O834" s="132" t="s">
        <v>244</v>
      </c>
      <c r="P834" s="132" t="s">
        <v>245</v>
      </c>
      <c r="Q834" s="133">
        <v>209</v>
      </c>
      <c r="R834" s="132" t="s">
        <v>279</v>
      </c>
      <c r="S834" s="132" t="s">
        <v>11</v>
      </c>
      <c r="T834" s="134">
        <v>42246</v>
      </c>
      <c r="U834" s="172">
        <f t="shared" si="46"/>
        <v>2015</v>
      </c>
      <c r="V834" s="172">
        <f t="shared" si="47"/>
        <v>8</v>
      </c>
      <c r="W834" s="44" t="s">
        <v>291</v>
      </c>
      <c r="X834" t="s">
        <v>892</v>
      </c>
      <c r="Y834">
        <v>1</v>
      </c>
      <c r="AA834" s="13">
        <f t="shared" si="45"/>
        <v>109000</v>
      </c>
      <c r="AE834" s="43"/>
      <c r="AL834" s="87" t="s">
        <v>819</v>
      </c>
      <c r="AM834" s="86">
        <v>447198</v>
      </c>
    </row>
    <row r="835" spans="13:39" hidden="1">
      <c r="M835" s="131">
        <v>109000</v>
      </c>
      <c r="N835" s="223">
        <v>492342</v>
      </c>
      <c r="O835" s="132" t="s">
        <v>244</v>
      </c>
      <c r="P835" s="132" t="s">
        <v>245</v>
      </c>
      <c r="Q835" s="133">
        <v>163</v>
      </c>
      <c r="R835" s="132" t="s">
        <v>279</v>
      </c>
      <c r="S835" s="132" t="s">
        <v>11</v>
      </c>
      <c r="T835" s="134">
        <v>42246</v>
      </c>
      <c r="U835" s="172">
        <f t="shared" si="46"/>
        <v>2015</v>
      </c>
      <c r="V835" s="172">
        <f t="shared" si="47"/>
        <v>8</v>
      </c>
      <c r="W835" s="44" t="s">
        <v>291</v>
      </c>
      <c r="X835" t="s">
        <v>892</v>
      </c>
      <c r="Y835">
        <v>1</v>
      </c>
      <c r="AA835" s="13">
        <f t="shared" si="45"/>
        <v>109000</v>
      </c>
      <c r="AE835" s="43"/>
      <c r="AL835" s="87" t="s">
        <v>819</v>
      </c>
      <c r="AM835" s="86">
        <v>448934</v>
      </c>
    </row>
    <row r="836" spans="13:39" hidden="1">
      <c r="M836" s="131">
        <v>109046</v>
      </c>
      <c r="N836" s="223">
        <v>490854</v>
      </c>
      <c r="O836" s="132" t="s">
        <v>244</v>
      </c>
      <c r="P836" s="132" t="s">
        <v>245</v>
      </c>
      <c r="Q836" s="133">
        <v>280</v>
      </c>
      <c r="R836" s="132" t="s">
        <v>279</v>
      </c>
      <c r="S836" s="132" t="s">
        <v>11</v>
      </c>
      <c r="T836" s="134">
        <v>42246</v>
      </c>
      <c r="U836" s="172">
        <f t="shared" si="46"/>
        <v>2015</v>
      </c>
      <c r="V836" s="172">
        <f t="shared" si="47"/>
        <v>8</v>
      </c>
      <c r="W836" s="44" t="s">
        <v>291</v>
      </c>
      <c r="X836" t="s">
        <v>892</v>
      </c>
      <c r="Y836">
        <v>1</v>
      </c>
      <c r="AA836" s="13">
        <f t="shared" ref="AA836:AA899" si="48">IF(M836&lt;30000,Y836*100*M836*(1-$L$1)-$L$2*Y836,M836)</f>
        <v>109046</v>
      </c>
      <c r="AE836" s="43"/>
      <c r="AL836" s="87" t="s">
        <v>819</v>
      </c>
      <c r="AM836" s="86">
        <v>449397</v>
      </c>
    </row>
    <row r="837" spans="13:39" hidden="1">
      <c r="M837" s="131">
        <v>109111</v>
      </c>
      <c r="N837" s="223">
        <v>479456</v>
      </c>
      <c r="O837" s="132" t="s">
        <v>244</v>
      </c>
      <c r="P837" s="132" t="s">
        <v>245</v>
      </c>
      <c r="Q837" s="133">
        <v>166</v>
      </c>
      <c r="R837" s="132" t="s">
        <v>279</v>
      </c>
      <c r="S837" s="132" t="s">
        <v>11</v>
      </c>
      <c r="T837" s="134">
        <v>42246</v>
      </c>
      <c r="U837" s="172">
        <f t="shared" si="46"/>
        <v>2015</v>
      </c>
      <c r="V837" s="172">
        <f t="shared" si="47"/>
        <v>8</v>
      </c>
      <c r="W837" s="44" t="s">
        <v>291</v>
      </c>
      <c r="X837" t="s">
        <v>892</v>
      </c>
      <c r="Y837">
        <v>1</v>
      </c>
      <c r="AA837" s="13">
        <f t="shared" si="48"/>
        <v>109111</v>
      </c>
      <c r="AE837" s="43"/>
      <c r="AL837" s="87" t="s">
        <v>819</v>
      </c>
      <c r="AM837" s="86">
        <v>449546</v>
      </c>
    </row>
    <row r="838" spans="13:39" hidden="1">
      <c r="M838" s="131">
        <v>109178</v>
      </c>
      <c r="N838" s="223">
        <v>484908</v>
      </c>
      <c r="O838" s="132" t="s">
        <v>244</v>
      </c>
      <c r="P838" s="132" t="s">
        <v>245</v>
      </c>
      <c r="Q838" s="133">
        <v>394</v>
      </c>
      <c r="R838" s="132" t="s">
        <v>279</v>
      </c>
      <c r="S838" s="132" t="s">
        <v>11</v>
      </c>
      <c r="T838" s="134">
        <v>42246</v>
      </c>
      <c r="U838" s="172">
        <f t="shared" si="46"/>
        <v>2015</v>
      </c>
      <c r="V838" s="172">
        <f t="shared" si="47"/>
        <v>8</v>
      </c>
      <c r="W838" s="44" t="s">
        <v>291</v>
      </c>
      <c r="X838" t="s">
        <v>892</v>
      </c>
      <c r="Y838">
        <v>1</v>
      </c>
      <c r="AA838" s="13">
        <f t="shared" si="48"/>
        <v>109178</v>
      </c>
      <c r="AE838" s="43"/>
      <c r="AL838" s="87" t="s">
        <v>819</v>
      </c>
      <c r="AM838" s="86">
        <v>449595</v>
      </c>
    </row>
    <row r="839" spans="13:39" hidden="1">
      <c r="M839" s="131">
        <v>109500</v>
      </c>
      <c r="N839" s="223">
        <v>605013</v>
      </c>
      <c r="O839" s="132" t="s">
        <v>244</v>
      </c>
      <c r="P839" s="132" t="s">
        <v>245</v>
      </c>
      <c r="Q839" s="133">
        <v>1058</v>
      </c>
      <c r="R839" s="132" t="s">
        <v>279</v>
      </c>
      <c r="S839" s="132" t="s">
        <v>11</v>
      </c>
      <c r="T839" s="134">
        <v>42548</v>
      </c>
      <c r="U839" s="172">
        <f t="shared" ref="U839:U902" si="49">YEAR($T839)</f>
        <v>2016</v>
      </c>
      <c r="V839" s="172">
        <f t="shared" ref="V839:V902" si="50">MONTH($T839)</f>
        <v>6</v>
      </c>
      <c r="W839" s="44" t="s">
        <v>280</v>
      </c>
      <c r="X839" t="s">
        <v>892</v>
      </c>
      <c r="Y839">
        <v>1</v>
      </c>
      <c r="AA839" s="13">
        <f t="shared" si="48"/>
        <v>109500</v>
      </c>
      <c r="AE839" s="43"/>
      <c r="AL839" s="87" t="s">
        <v>819</v>
      </c>
      <c r="AM839" s="86">
        <v>450200</v>
      </c>
    </row>
    <row r="840" spans="13:39" hidden="1">
      <c r="M840" s="131">
        <v>109799</v>
      </c>
      <c r="N840" s="223">
        <v>570841</v>
      </c>
      <c r="O840" s="132" t="s">
        <v>244</v>
      </c>
      <c r="P840" s="132" t="s">
        <v>245</v>
      </c>
      <c r="Q840" s="133">
        <v>409</v>
      </c>
      <c r="R840" s="132" t="s">
        <v>279</v>
      </c>
      <c r="S840" s="132" t="s">
        <v>11</v>
      </c>
      <c r="T840" s="134">
        <v>42548</v>
      </c>
      <c r="U840" s="172">
        <f t="shared" si="49"/>
        <v>2016</v>
      </c>
      <c r="V840" s="172">
        <f t="shared" si="50"/>
        <v>6</v>
      </c>
      <c r="W840" s="44" t="s">
        <v>280</v>
      </c>
      <c r="X840" t="s">
        <v>892</v>
      </c>
      <c r="Y840">
        <v>1</v>
      </c>
      <c r="AA840" s="13">
        <f t="shared" si="48"/>
        <v>109799</v>
      </c>
      <c r="AE840" s="43"/>
      <c r="AL840" s="87" t="s">
        <v>819</v>
      </c>
      <c r="AM840" s="86">
        <v>450200</v>
      </c>
    </row>
    <row r="841" spans="13:39" hidden="1">
      <c r="M841" s="131">
        <v>109877</v>
      </c>
      <c r="N841" s="223">
        <v>618681</v>
      </c>
      <c r="O841" s="132" t="s">
        <v>244</v>
      </c>
      <c r="P841" s="132" t="s">
        <v>245</v>
      </c>
      <c r="Q841" s="133">
        <v>1188</v>
      </c>
      <c r="R841" s="132" t="s">
        <v>279</v>
      </c>
      <c r="S841" s="132" t="s">
        <v>11</v>
      </c>
      <c r="T841" s="134">
        <v>42548</v>
      </c>
      <c r="U841" s="172">
        <f t="shared" si="49"/>
        <v>2016</v>
      </c>
      <c r="V841" s="172">
        <f t="shared" si="50"/>
        <v>6</v>
      </c>
      <c r="W841" s="44" t="s">
        <v>280</v>
      </c>
      <c r="X841" t="s">
        <v>892</v>
      </c>
      <c r="Y841">
        <v>1</v>
      </c>
      <c r="AA841" s="13">
        <f t="shared" si="48"/>
        <v>109877</v>
      </c>
      <c r="AE841" s="43"/>
      <c r="AL841" s="87" t="s">
        <v>819</v>
      </c>
      <c r="AM841" s="86">
        <v>450200</v>
      </c>
    </row>
    <row r="842" spans="13:39" hidden="1">
      <c r="M842" s="131">
        <v>109905</v>
      </c>
      <c r="N842" s="223">
        <v>571410</v>
      </c>
      <c r="O842" s="132" t="s">
        <v>244</v>
      </c>
      <c r="P842" s="132" t="s">
        <v>245</v>
      </c>
      <c r="Q842" s="133">
        <v>1190</v>
      </c>
      <c r="R842" s="132" t="s">
        <v>279</v>
      </c>
      <c r="S842" s="132" t="s">
        <v>11</v>
      </c>
      <c r="T842" s="134">
        <v>42548</v>
      </c>
      <c r="U842" s="172">
        <f t="shared" si="49"/>
        <v>2016</v>
      </c>
      <c r="V842" s="172">
        <f t="shared" si="50"/>
        <v>6</v>
      </c>
      <c r="W842" s="44" t="s">
        <v>280</v>
      </c>
      <c r="X842" t="s">
        <v>892</v>
      </c>
      <c r="Y842">
        <v>1</v>
      </c>
      <c r="AA842" s="13">
        <f t="shared" si="48"/>
        <v>109905</v>
      </c>
      <c r="AE842" s="43"/>
      <c r="AL842" s="87" t="s">
        <v>819</v>
      </c>
      <c r="AM842" s="86">
        <v>450200</v>
      </c>
    </row>
    <row r="843" spans="13:39" hidden="1">
      <c r="M843" s="131">
        <v>109918</v>
      </c>
      <c r="N843" s="223">
        <v>493828</v>
      </c>
      <c r="O843" s="132" t="s">
        <v>244</v>
      </c>
      <c r="P843" s="132" t="s">
        <v>245</v>
      </c>
      <c r="Q843" s="133">
        <v>136</v>
      </c>
      <c r="R843" s="132" t="s">
        <v>279</v>
      </c>
      <c r="S843" s="132" t="s">
        <v>11</v>
      </c>
      <c r="T843" s="134">
        <v>42246</v>
      </c>
      <c r="U843" s="172">
        <f t="shared" si="49"/>
        <v>2015</v>
      </c>
      <c r="V843" s="172">
        <f t="shared" si="50"/>
        <v>8</v>
      </c>
      <c r="W843" s="44" t="s">
        <v>291</v>
      </c>
      <c r="X843" t="s">
        <v>892</v>
      </c>
      <c r="Y843">
        <v>1</v>
      </c>
      <c r="AA843" s="13">
        <f t="shared" si="48"/>
        <v>109918</v>
      </c>
      <c r="AE843" s="43"/>
      <c r="AL843" s="87" t="s">
        <v>819</v>
      </c>
      <c r="AM843" s="86">
        <v>450200</v>
      </c>
    </row>
    <row r="844" spans="13:39" hidden="1">
      <c r="M844" s="131">
        <v>110000</v>
      </c>
      <c r="N844" s="223">
        <v>474500</v>
      </c>
      <c r="O844" s="132" t="s">
        <v>244</v>
      </c>
      <c r="P844" s="132" t="s">
        <v>245</v>
      </c>
      <c r="Q844" s="133">
        <v>514</v>
      </c>
      <c r="R844" s="132" t="s">
        <v>279</v>
      </c>
      <c r="S844" s="132" t="s">
        <v>11</v>
      </c>
      <c r="T844" s="134">
        <v>42246</v>
      </c>
      <c r="U844" s="172">
        <f t="shared" si="49"/>
        <v>2015</v>
      </c>
      <c r="V844" s="172">
        <f t="shared" si="50"/>
        <v>8</v>
      </c>
      <c r="W844" s="44" t="s">
        <v>291</v>
      </c>
      <c r="X844" t="s">
        <v>892</v>
      </c>
      <c r="Y844">
        <v>1</v>
      </c>
      <c r="AA844" s="13">
        <f t="shared" si="48"/>
        <v>110000</v>
      </c>
      <c r="AE844" s="43"/>
      <c r="AL844" s="87" t="s">
        <v>819</v>
      </c>
      <c r="AM844" s="86">
        <v>450200</v>
      </c>
    </row>
    <row r="845" spans="13:39" hidden="1">
      <c r="M845" s="131">
        <v>110000</v>
      </c>
      <c r="N845" s="223">
        <v>486890</v>
      </c>
      <c r="O845" s="132" t="s">
        <v>244</v>
      </c>
      <c r="P845" s="132" t="s">
        <v>245</v>
      </c>
      <c r="Q845" s="133">
        <v>475</v>
      </c>
      <c r="R845" s="132" t="s">
        <v>279</v>
      </c>
      <c r="S845" s="132" t="s">
        <v>11</v>
      </c>
      <c r="T845" s="134">
        <v>42246</v>
      </c>
      <c r="U845" s="172">
        <f t="shared" si="49"/>
        <v>2015</v>
      </c>
      <c r="V845" s="172">
        <f t="shared" si="50"/>
        <v>8</v>
      </c>
      <c r="W845" s="44" t="s">
        <v>291</v>
      </c>
      <c r="X845" t="s">
        <v>892</v>
      </c>
      <c r="Y845">
        <v>1</v>
      </c>
      <c r="AA845" s="13">
        <f t="shared" si="48"/>
        <v>110000</v>
      </c>
      <c r="AE845" s="43"/>
      <c r="AL845" s="87" t="s">
        <v>819</v>
      </c>
      <c r="AM845" s="86">
        <v>450200</v>
      </c>
    </row>
    <row r="846" spans="13:39" hidden="1">
      <c r="M846" s="131">
        <v>110000</v>
      </c>
      <c r="N846" s="223">
        <v>492342</v>
      </c>
      <c r="O846" s="132" t="s">
        <v>244</v>
      </c>
      <c r="P846" s="132" t="s">
        <v>245</v>
      </c>
      <c r="Q846" s="133">
        <v>304</v>
      </c>
      <c r="R846" s="132" t="s">
        <v>279</v>
      </c>
      <c r="S846" s="132" t="s">
        <v>11</v>
      </c>
      <c r="T846" s="134">
        <v>42246</v>
      </c>
      <c r="U846" s="172">
        <f t="shared" si="49"/>
        <v>2015</v>
      </c>
      <c r="V846" s="172">
        <f t="shared" si="50"/>
        <v>8</v>
      </c>
      <c r="W846" s="44" t="s">
        <v>291</v>
      </c>
      <c r="X846" t="s">
        <v>892</v>
      </c>
      <c r="Y846">
        <v>1</v>
      </c>
      <c r="AA846" s="13">
        <f t="shared" si="48"/>
        <v>110000</v>
      </c>
      <c r="AE846" s="43"/>
      <c r="AL846" s="87" t="s">
        <v>819</v>
      </c>
      <c r="AM846" s="86">
        <v>451595</v>
      </c>
    </row>
    <row r="847" spans="13:39" hidden="1">
      <c r="M847" s="131">
        <v>110000</v>
      </c>
      <c r="N847" s="223">
        <v>548630</v>
      </c>
      <c r="O847" s="132" t="s">
        <v>244</v>
      </c>
      <c r="P847" s="132" t="s">
        <v>245</v>
      </c>
      <c r="Q847" s="133">
        <v>1327</v>
      </c>
      <c r="R847" s="132" t="s">
        <v>279</v>
      </c>
      <c r="S847" s="132" t="s">
        <v>11</v>
      </c>
      <c r="T847" s="134">
        <v>42548</v>
      </c>
      <c r="U847" s="172">
        <f t="shared" si="49"/>
        <v>2016</v>
      </c>
      <c r="V847" s="172">
        <f t="shared" si="50"/>
        <v>6</v>
      </c>
      <c r="W847" s="44" t="s">
        <v>280</v>
      </c>
      <c r="X847" t="s">
        <v>892</v>
      </c>
      <c r="Y847">
        <v>1</v>
      </c>
      <c r="AA847" s="13">
        <f t="shared" si="48"/>
        <v>110000</v>
      </c>
      <c r="AE847" s="43"/>
      <c r="AL847" s="87" t="s">
        <v>819</v>
      </c>
      <c r="AM847" s="86">
        <v>451976</v>
      </c>
    </row>
    <row r="848" spans="13:39" hidden="1">
      <c r="M848" s="131">
        <v>110000</v>
      </c>
      <c r="N848" s="223">
        <v>569435</v>
      </c>
      <c r="O848" s="132" t="s">
        <v>244</v>
      </c>
      <c r="P848" s="132" t="s">
        <v>245</v>
      </c>
      <c r="Q848" s="133">
        <v>1301</v>
      </c>
      <c r="R848" s="132" t="s">
        <v>279</v>
      </c>
      <c r="S848" s="132" t="s">
        <v>11</v>
      </c>
      <c r="T848" s="134">
        <v>42548</v>
      </c>
      <c r="U848" s="172">
        <f t="shared" si="49"/>
        <v>2016</v>
      </c>
      <c r="V848" s="172">
        <f t="shared" si="50"/>
        <v>6</v>
      </c>
      <c r="W848" s="44" t="s">
        <v>280</v>
      </c>
      <c r="X848" t="s">
        <v>892</v>
      </c>
      <c r="Y848">
        <v>1</v>
      </c>
      <c r="AA848" s="13">
        <f t="shared" si="48"/>
        <v>110000</v>
      </c>
      <c r="AE848" s="43"/>
      <c r="AL848" s="87" t="s">
        <v>819</v>
      </c>
      <c r="AM848" s="86">
        <v>451987</v>
      </c>
    </row>
    <row r="849" spans="13:39" hidden="1">
      <c r="M849" s="131">
        <v>110001</v>
      </c>
      <c r="N849" s="223">
        <v>560021</v>
      </c>
      <c r="O849" s="132" t="s">
        <v>244</v>
      </c>
      <c r="P849" s="132" t="s">
        <v>245</v>
      </c>
      <c r="Q849" s="133">
        <v>1034</v>
      </c>
      <c r="R849" s="132" t="s">
        <v>279</v>
      </c>
      <c r="S849" s="132" t="s">
        <v>11</v>
      </c>
      <c r="T849" s="134">
        <v>42548</v>
      </c>
      <c r="U849" s="172">
        <f t="shared" si="49"/>
        <v>2016</v>
      </c>
      <c r="V849" s="172">
        <f t="shared" si="50"/>
        <v>6</v>
      </c>
      <c r="W849" s="44" t="s">
        <v>280</v>
      </c>
      <c r="X849" t="s">
        <v>892</v>
      </c>
      <c r="Y849">
        <v>1</v>
      </c>
      <c r="AA849" s="13">
        <f t="shared" si="48"/>
        <v>110001</v>
      </c>
      <c r="AE849" s="43"/>
      <c r="AL849" s="87" t="s">
        <v>819</v>
      </c>
      <c r="AM849" s="86">
        <v>452246</v>
      </c>
    </row>
    <row r="850" spans="13:39" hidden="1">
      <c r="M850" s="131">
        <v>110026</v>
      </c>
      <c r="N850" s="223">
        <v>544643</v>
      </c>
      <c r="O850" s="132" t="s">
        <v>244</v>
      </c>
      <c r="P850" s="132" t="s">
        <v>245</v>
      </c>
      <c r="Q850" s="133">
        <v>1046</v>
      </c>
      <c r="R850" s="132" t="s">
        <v>279</v>
      </c>
      <c r="S850" s="132" t="s">
        <v>11</v>
      </c>
      <c r="T850" s="134">
        <v>42548</v>
      </c>
      <c r="U850" s="172">
        <f t="shared" si="49"/>
        <v>2016</v>
      </c>
      <c r="V850" s="172">
        <f t="shared" si="50"/>
        <v>6</v>
      </c>
      <c r="W850" s="44" t="s">
        <v>280</v>
      </c>
      <c r="X850" t="s">
        <v>892</v>
      </c>
      <c r="Y850">
        <v>1</v>
      </c>
      <c r="AA850" s="13">
        <f t="shared" si="48"/>
        <v>110026</v>
      </c>
      <c r="AE850" s="43"/>
      <c r="AL850" s="87" t="s">
        <v>819</v>
      </c>
      <c r="AM850" s="86">
        <v>452475</v>
      </c>
    </row>
    <row r="851" spans="13:39" hidden="1">
      <c r="M851" s="131">
        <v>110026</v>
      </c>
      <c r="N851" s="223">
        <v>544643</v>
      </c>
      <c r="O851" s="132" t="s">
        <v>244</v>
      </c>
      <c r="P851" s="132" t="s">
        <v>245</v>
      </c>
      <c r="Q851" s="133">
        <v>1047</v>
      </c>
      <c r="R851" s="132" t="s">
        <v>279</v>
      </c>
      <c r="S851" s="132" t="s">
        <v>11</v>
      </c>
      <c r="T851" s="134">
        <v>42548</v>
      </c>
      <c r="U851" s="172">
        <f t="shared" si="49"/>
        <v>2016</v>
      </c>
      <c r="V851" s="172">
        <f t="shared" si="50"/>
        <v>6</v>
      </c>
      <c r="W851" s="44" t="s">
        <v>280</v>
      </c>
      <c r="X851" t="s">
        <v>892</v>
      </c>
      <c r="Y851">
        <v>1</v>
      </c>
      <c r="AA851" s="13">
        <f t="shared" si="48"/>
        <v>110026</v>
      </c>
      <c r="AE851" s="43"/>
      <c r="AL851" s="87" t="s">
        <v>819</v>
      </c>
      <c r="AM851" s="86">
        <v>454234</v>
      </c>
    </row>
    <row r="852" spans="13:39" hidden="1">
      <c r="M852" s="131">
        <v>110026</v>
      </c>
      <c r="N852" s="223">
        <v>544643</v>
      </c>
      <c r="O852" s="132" t="s">
        <v>244</v>
      </c>
      <c r="P852" s="132" t="s">
        <v>245</v>
      </c>
      <c r="Q852" s="133">
        <v>1048</v>
      </c>
      <c r="R852" s="132" t="s">
        <v>279</v>
      </c>
      <c r="S852" s="132" t="s">
        <v>11</v>
      </c>
      <c r="T852" s="134">
        <v>42548</v>
      </c>
      <c r="U852" s="172">
        <f t="shared" si="49"/>
        <v>2016</v>
      </c>
      <c r="V852" s="172">
        <f t="shared" si="50"/>
        <v>6</v>
      </c>
      <c r="W852" s="44" t="s">
        <v>280</v>
      </c>
      <c r="X852" t="s">
        <v>892</v>
      </c>
      <c r="Y852">
        <v>1</v>
      </c>
      <c r="AA852" s="13">
        <f t="shared" si="48"/>
        <v>110026</v>
      </c>
      <c r="AE852" s="43"/>
      <c r="AL852" s="87" t="s">
        <v>819</v>
      </c>
      <c r="AM852" s="86">
        <v>454823</v>
      </c>
    </row>
    <row r="853" spans="13:39" hidden="1">
      <c r="M853" s="131">
        <v>110500</v>
      </c>
      <c r="N853" s="223">
        <v>544074</v>
      </c>
      <c r="O853" s="132" t="s">
        <v>244</v>
      </c>
      <c r="P853" s="132" t="s">
        <v>245</v>
      </c>
      <c r="Q853" s="133">
        <v>1318</v>
      </c>
      <c r="R853" s="132" t="s">
        <v>279</v>
      </c>
      <c r="S853" s="132" t="s">
        <v>11</v>
      </c>
      <c r="T853" s="134">
        <v>42548</v>
      </c>
      <c r="U853" s="172">
        <f t="shared" si="49"/>
        <v>2016</v>
      </c>
      <c r="V853" s="172">
        <f t="shared" si="50"/>
        <v>6</v>
      </c>
      <c r="W853" s="44" t="s">
        <v>280</v>
      </c>
      <c r="X853" t="s">
        <v>892</v>
      </c>
      <c r="Y853">
        <v>1</v>
      </c>
      <c r="AA853" s="13">
        <f t="shared" si="48"/>
        <v>110500</v>
      </c>
      <c r="AE853" s="43"/>
      <c r="AL853" s="87" t="s">
        <v>819</v>
      </c>
      <c r="AM853" s="86">
        <v>454823</v>
      </c>
    </row>
    <row r="854" spans="13:39" hidden="1">
      <c r="M854" s="131">
        <v>110900</v>
      </c>
      <c r="N854" s="223">
        <v>489368</v>
      </c>
      <c r="O854" s="132" t="s">
        <v>244</v>
      </c>
      <c r="P854" s="132" t="s">
        <v>245</v>
      </c>
      <c r="Q854" s="133">
        <v>201</v>
      </c>
      <c r="R854" s="132" t="s">
        <v>279</v>
      </c>
      <c r="S854" s="132" t="s">
        <v>11</v>
      </c>
      <c r="T854" s="134">
        <v>42246</v>
      </c>
      <c r="U854" s="172">
        <f t="shared" si="49"/>
        <v>2015</v>
      </c>
      <c r="V854" s="172">
        <f t="shared" si="50"/>
        <v>8</v>
      </c>
      <c r="W854" s="44" t="s">
        <v>291</v>
      </c>
      <c r="X854" t="s">
        <v>892</v>
      </c>
      <c r="Y854">
        <v>1</v>
      </c>
      <c r="AA854" s="13">
        <f t="shared" si="48"/>
        <v>110900</v>
      </c>
      <c r="AE854" s="43"/>
      <c r="AL854" s="87" t="s">
        <v>819</v>
      </c>
      <c r="AM854" s="86">
        <v>455561</v>
      </c>
    </row>
    <row r="855" spans="13:39" hidden="1">
      <c r="M855" s="131">
        <v>111000</v>
      </c>
      <c r="N855" s="223">
        <v>550338</v>
      </c>
      <c r="O855" s="132" t="s">
        <v>244</v>
      </c>
      <c r="P855" s="132" t="s">
        <v>245</v>
      </c>
      <c r="Q855" s="133">
        <v>1222</v>
      </c>
      <c r="R855" s="132" t="s">
        <v>279</v>
      </c>
      <c r="S855" s="132" t="s">
        <v>11</v>
      </c>
      <c r="T855" s="134">
        <v>42548</v>
      </c>
      <c r="U855" s="172">
        <f t="shared" si="49"/>
        <v>2016</v>
      </c>
      <c r="V855" s="172">
        <f t="shared" si="50"/>
        <v>6</v>
      </c>
      <c r="W855" s="44" t="s">
        <v>280</v>
      </c>
      <c r="X855" t="s">
        <v>892</v>
      </c>
      <c r="Y855">
        <v>1</v>
      </c>
      <c r="AA855" s="13">
        <f t="shared" si="48"/>
        <v>111000</v>
      </c>
      <c r="AE855" s="43"/>
      <c r="AL855" s="87" t="s">
        <v>819</v>
      </c>
      <c r="AM855" s="86">
        <v>455962</v>
      </c>
    </row>
    <row r="856" spans="13:39" hidden="1">
      <c r="M856" s="131">
        <v>111000</v>
      </c>
      <c r="N856" s="223">
        <v>565147</v>
      </c>
      <c r="O856" s="132" t="s">
        <v>244</v>
      </c>
      <c r="P856" s="132" t="s">
        <v>245</v>
      </c>
      <c r="Q856" s="133">
        <v>324</v>
      </c>
      <c r="R856" s="132" t="s">
        <v>279</v>
      </c>
      <c r="S856" s="132" t="s">
        <v>11</v>
      </c>
      <c r="T856" s="134">
        <v>42548</v>
      </c>
      <c r="U856" s="172">
        <f t="shared" si="49"/>
        <v>2016</v>
      </c>
      <c r="V856" s="172">
        <f t="shared" si="50"/>
        <v>6</v>
      </c>
      <c r="W856" s="44" t="s">
        <v>280</v>
      </c>
      <c r="X856" t="s">
        <v>892</v>
      </c>
      <c r="Y856">
        <v>1</v>
      </c>
      <c r="AA856" s="13">
        <f t="shared" si="48"/>
        <v>111000</v>
      </c>
      <c r="AE856" s="43"/>
      <c r="AL856" s="87" t="s">
        <v>819</v>
      </c>
      <c r="AM856" s="86">
        <v>455962</v>
      </c>
    </row>
    <row r="857" spans="13:39" hidden="1">
      <c r="M857" s="131">
        <v>111200</v>
      </c>
      <c r="N857" s="223">
        <v>481934</v>
      </c>
      <c r="O857" s="132" t="s">
        <v>244</v>
      </c>
      <c r="P857" s="132" t="s">
        <v>245</v>
      </c>
      <c r="Q857" s="133">
        <v>227</v>
      </c>
      <c r="R857" s="132" t="s">
        <v>279</v>
      </c>
      <c r="S857" s="132" t="s">
        <v>11</v>
      </c>
      <c r="T857" s="134">
        <v>42246</v>
      </c>
      <c r="U857" s="172">
        <f t="shared" si="49"/>
        <v>2015</v>
      </c>
      <c r="V857" s="172">
        <f t="shared" si="50"/>
        <v>8</v>
      </c>
      <c r="W857" s="44" t="s">
        <v>291</v>
      </c>
      <c r="X857" t="s">
        <v>892</v>
      </c>
      <c r="Y857">
        <v>1</v>
      </c>
      <c r="AA857" s="13">
        <f t="shared" si="48"/>
        <v>111200</v>
      </c>
      <c r="AE857" s="43"/>
      <c r="AL857" s="87" t="s">
        <v>819</v>
      </c>
      <c r="AM857" s="86">
        <v>455962</v>
      </c>
    </row>
    <row r="858" spans="13:39" hidden="1">
      <c r="M858" s="131">
        <v>111200</v>
      </c>
      <c r="N858" s="223">
        <v>493828</v>
      </c>
      <c r="O858" s="132" t="s">
        <v>244</v>
      </c>
      <c r="P858" s="132" t="s">
        <v>245</v>
      </c>
      <c r="Q858" s="133">
        <v>56</v>
      </c>
      <c r="R858" s="132" t="s">
        <v>279</v>
      </c>
      <c r="S858" s="132" t="s">
        <v>11</v>
      </c>
      <c r="T858" s="134">
        <v>42246</v>
      </c>
      <c r="U858" s="172">
        <f t="shared" si="49"/>
        <v>2015</v>
      </c>
      <c r="V858" s="172">
        <f t="shared" si="50"/>
        <v>8</v>
      </c>
      <c r="W858" s="44" t="s">
        <v>291</v>
      </c>
      <c r="X858" t="s">
        <v>892</v>
      </c>
      <c r="Y858">
        <v>1</v>
      </c>
      <c r="AA858" s="13">
        <f t="shared" si="48"/>
        <v>111200</v>
      </c>
      <c r="AE858" s="43"/>
      <c r="AL858" s="87" t="s">
        <v>819</v>
      </c>
      <c r="AM858" s="86">
        <v>455962</v>
      </c>
    </row>
    <row r="859" spans="13:39" hidden="1">
      <c r="M859" s="131">
        <v>111200</v>
      </c>
      <c r="N859" s="223">
        <v>568563</v>
      </c>
      <c r="O859" s="132" t="s">
        <v>244</v>
      </c>
      <c r="P859" s="132" t="s">
        <v>245</v>
      </c>
      <c r="Q859" s="133">
        <v>67</v>
      </c>
      <c r="R859" s="132" t="s">
        <v>279</v>
      </c>
      <c r="S859" s="132" t="s">
        <v>11</v>
      </c>
      <c r="T859" s="134">
        <v>42548</v>
      </c>
      <c r="U859" s="172">
        <f t="shared" si="49"/>
        <v>2016</v>
      </c>
      <c r="V859" s="172">
        <f t="shared" si="50"/>
        <v>6</v>
      </c>
      <c r="W859" s="44" t="s">
        <v>280</v>
      </c>
      <c r="X859" t="s">
        <v>892</v>
      </c>
      <c r="Y859">
        <v>1</v>
      </c>
      <c r="AA859" s="13">
        <f t="shared" si="48"/>
        <v>111200</v>
      </c>
      <c r="AE859" s="43"/>
      <c r="AL859" s="87" t="s">
        <v>819</v>
      </c>
      <c r="AM859" s="86">
        <v>455962</v>
      </c>
    </row>
    <row r="860" spans="13:39" hidden="1">
      <c r="M860" s="131">
        <v>111213</v>
      </c>
      <c r="N860" s="223">
        <v>581662</v>
      </c>
      <c r="O860" s="132" t="s">
        <v>244</v>
      </c>
      <c r="P860" s="132" t="s">
        <v>245</v>
      </c>
      <c r="Q860" s="133">
        <v>1033</v>
      </c>
      <c r="R860" s="132" t="s">
        <v>279</v>
      </c>
      <c r="S860" s="132" t="s">
        <v>11</v>
      </c>
      <c r="T860" s="134">
        <v>42548</v>
      </c>
      <c r="U860" s="172">
        <f t="shared" si="49"/>
        <v>2016</v>
      </c>
      <c r="V860" s="172">
        <f t="shared" si="50"/>
        <v>6</v>
      </c>
      <c r="W860" s="44" t="s">
        <v>280</v>
      </c>
      <c r="X860" t="s">
        <v>892</v>
      </c>
      <c r="Y860">
        <v>1</v>
      </c>
      <c r="AA860" s="13">
        <f t="shared" si="48"/>
        <v>111213</v>
      </c>
      <c r="AE860" s="43"/>
      <c r="AL860" s="87" t="s">
        <v>819</v>
      </c>
      <c r="AM860" s="86">
        <v>456533</v>
      </c>
    </row>
    <row r="861" spans="13:39" hidden="1">
      <c r="M861" s="131">
        <v>111222</v>
      </c>
      <c r="N861" s="223">
        <v>483916</v>
      </c>
      <c r="O861" s="132" t="s">
        <v>244</v>
      </c>
      <c r="P861" s="132" t="s">
        <v>245</v>
      </c>
      <c r="Q861" s="133">
        <v>474</v>
      </c>
      <c r="R861" s="132" t="s">
        <v>279</v>
      </c>
      <c r="S861" s="132" t="s">
        <v>11</v>
      </c>
      <c r="T861" s="134">
        <v>42246</v>
      </c>
      <c r="U861" s="172">
        <f t="shared" si="49"/>
        <v>2015</v>
      </c>
      <c r="V861" s="172">
        <f t="shared" si="50"/>
        <v>8</v>
      </c>
      <c r="W861" s="44" t="s">
        <v>291</v>
      </c>
      <c r="X861" t="s">
        <v>892</v>
      </c>
      <c r="Y861">
        <v>1</v>
      </c>
      <c r="AA861" s="13">
        <f t="shared" si="48"/>
        <v>111222</v>
      </c>
      <c r="AE861" s="43"/>
      <c r="AL861" s="87" t="s">
        <v>819</v>
      </c>
      <c r="AM861" s="86">
        <v>456870</v>
      </c>
    </row>
    <row r="862" spans="13:39" hidden="1">
      <c r="M862" s="131">
        <v>111555</v>
      </c>
      <c r="N862" s="223">
        <v>561160</v>
      </c>
      <c r="O862" s="132" t="s">
        <v>244</v>
      </c>
      <c r="P862" s="132" t="s">
        <v>245</v>
      </c>
      <c r="Q862" s="133">
        <v>59</v>
      </c>
      <c r="R862" s="132" t="s">
        <v>279</v>
      </c>
      <c r="S862" s="132" t="s">
        <v>11</v>
      </c>
      <c r="T862" s="134">
        <v>42548</v>
      </c>
      <c r="U862" s="172">
        <f t="shared" si="49"/>
        <v>2016</v>
      </c>
      <c r="V862" s="172">
        <f t="shared" si="50"/>
        <v>6</v>
      </c>
      <c r="W862" s="44" t="s">
        <v>280</v>
      </c>
      <c r="X862" t="s">
        <v>892</v>
      </c>
      <c r="Y862">
        <v>1</v>
      </c>
      <c r="AA862" s="13">
        <f t="shared" si="48"/>
        <v>111555</v>
      </c>
      <c r="AE862" s="43"/>
      <c r="AL862" s="87" t="s">
        <v>819</v>
      </c>
      <c r="AM862" s="86">
        <v>456872</v>
      </c>
    </row>
    <row r="863" spans="13:39" hidden="1">
      <c r="M863" s="131">
        <v>111555</v>
      </c>
      <c r="N863" s="223">
        <v>562868</v>
      </c>
      <c r="O863" s="132" t="s">
        <v>244</v>
      </c>
      <c r="P863" s="132" t="s">
        <v>245</v>
      </c>
      <c r="Q863" s="133">
        <v>424</v>
      </c>
      <c r="R863" s="132" t="s">
        <v>279</v>
      </c>
      <c r="S863" s="132" t="s">
        <v>11</v>
      </c>
      <c r="T863" s="134">
        <v>42548</v>
      </c>
      <c r="U863" s="172">
        <f t="shared" si="49"/>
        <v>2016</v>
      </c>
      <c r="V863" s="172">
        <f t="shared" si="50"/>
        <v>6</v>
      </c>
      <c r="W863" s="44" t="s">
        <v>280</v>
      </c>
      <c r="X863" t="s">
        <v>892</v>
      </c>
      <c r="Y863">
        <v>1</v>
      </c>
      <c r="AA863" s="13">
        <f t="shared" si="48"/>
        <v>111555</v>
      </c>
      <c r="AE863" s="43"/>
      <c r="AL863" s="87" t="s">
        <v>819</v>
      </c>
      <c r="AM863" s="86">
        <v>457672</v>
      </c>
    </row>
    <row r="864" spans="13:39" hidden="1">
      <c r="M864" s="131">
        <v>111556</v>
      </c>
      <c r="N864" s="223">
        <v>491350</v>
      </c>
      <c r="O864" s="132" t="s">
        <v>244</v>
      </c>
      <c r="P864" s="132" t="s">
        <v>245</v>
      </c>
      <c r="Q864" s="133">
        <v>422</v>
      </c>
      <c r="R864" s="132" t="s">
        <v>279</v>
      </c>
      <c r="S864" s="132" t="s">
        <v>11</v>
      </c>
      <c r="T864" s="134">
        <v>42246</v>
      </c>
      <c r="U864" s="172">
        <f t="shared" si="49"/>
        <v>2015</v>
      </c>
      <c r="V864" s="172">
        <f t="shared" si="50"/>
        <v>8</v>
      </c>
      <c r="W864" s="44" t="s">
        <v>291</v>
      </c>
      <c r="X864" t="s">
        <v>892</v>
      </c>
      <c r="Y864">
        <v>1</v>
      </c>
      <c r="AA864" s="13">
        <f t="shared" si="48"/>
        <v>111556</v>
      </c>
      <c r="AE864" s="43"/>
      <c r="AL864" s="87" t="s">
        <v>819</v>
      </c>
      <c r="AM864" s="86">
        <v>457672</v>
      </c>
    </row>
    <row r="865" spans="13:39" hidden="1">
      <c r="M865" s="131">
        <v>111601</v>
      </c>
      <c r="N865" s="223">
        <v>493828</v>
      </c>
      <c r="O865" s="132" t="s">
        <v>244</v>
      </c>
      <c r="P865" s="132" t="s">
        <v>245</v>
      </c>
      <c r="Q865" s="133">
        <v>391</v>
      </c>
      <c r="R865" s="132" t="s">
        <v>279</v>
      </c>
      <c r="S865" s="132" t="s">
        <v>11</v>
      </c>
      <c r="T865" s="134">
        <v>42246</v>
      </c>
      <c r="U865" s="172">
        <f t="shared" si="49"/>
        <v>2015</v>
      </c>
      <c r="V865" s="172">
        <f t="shared" si="50"/>
        <v>8</v>
      </c>
      <c r="W865" s="44" t="s">
        <v>291</v>
      </c>
      <c r="X865" t="s">
        <v>892</v>
      </c>
      <c r="Y865">
        <v>1</v>
      </c>
      <c r="AA865" s="13">
        <f t="shared" si="48"/>
        <v>111601</v>
      </c>
      <c r="AE865" s="43"/>
      <c r="AL865" s="87" t="s">
        <v>819</v>
      </c>
      <c r="AM865" s="86">
        <v>457751</v>
      </c>
    </row>
    <row r="866" spans="13:39" hidden="1">
      <c r="M866" s="131">
        <v>111965</v>
      </c>
      <c r="N866" s="223">
        <v>487882</v>
      </c>
      <c r="O866" s="132" t="s">
        <v>244</v>
      </c>
      <c r="P866" s="132" t="s">
        <v>245</v>
      </c>
      <c r="Q866" s="133">
        <v>466</v>
      </c>
      <c r="R866" s="132" t="s">
        <v>279</v>
      </c>
      <c r="S866" s="132" t="s">
        <v>11</v>
      </c>
      <c r="T866" s="134">
        <v>42246</v>
      </c>
      <c r="U866" s="172">
        <f t="shared" si="49"/>
        <v>2015</v>
      </c>
      <c r="V866" s="172">
        <f t="shared" si="50"/>
        <v>8</v>
      </c>
      <c r="W866" s="44" t="s">
        <v>291</v>
      </c>
      <c r="X866" t="s">
        <v>892</v>
      </c>
      <c r="Y866">
        <v>1</v>
      </c>
      <c r="AA866" s="13">
        <f t="shared" si="48"/>
        <v>111965</v>
      </c>
      <c r="AE866" s="43"/>
      <c r="AL866" s="87" t="s">
        <v>819</v>
      </c>
      <c r="AM866" s="86">
        <v>458241</v>
      </c>
    </row>
    <row r="867" spans="13:39" hidden="1">
      <c r="M867" s="131">
        <v>112000</v>
      </c>
      <c r="N867" s="223">
        <v>481439</v>
      </c>
      <c r="O867" s="132" t="s">
        <v>244</v>
      </c>
      <c r="P867" s="132" t="s">
        <v>245</v>
      </c>
      <c r="Q867" s="133">
        <v>274</v>
      </c>
      <c r="R867" s="132" t="s">
        <v>279</v>
      </c>
      <c r="S867" s="132" t="s">
        <v>11</v>
      </c>
      <c r="T867" s="134">
        <v>42246</v>
      </c>
      <c r="U867" s="172">
        <f t="shared" si="49"/>
        <v>2015</v>
      </c>
      <c r="V867" s="172">
        <f t="shared" si="50"/>
        <v>8</v>
      </c>
      <c r="W867" s="44" t="s">
        <v>291</v>
      </c>
      <c r="X867" t="s">
        <v>892</v>
      </c>
      <c r="Y867">
        <v>1</v>
      </c>
      <c r="AA867" s="13">
        <f t="shared" si="48"/>
        <v>112000</v>
      </c>
      <c r="AE867" s="43"/>
      <c r="AL867" s="87" t="s">
        <v>819</v>
      </c>
      <c r="AM867" s="86">
        <v>45863317</v>
      </c>
    </row>
    <row r="868" spans="13:39" hidden="1">
      <c r="M868" s="131">
        <v>112000</v>
      </c>
      <c r="N868" s="223">
        <v>482925</v>
      </c>
      <c r="O868" s="132" t="s">
        <v>244</v>
      </c>
      <c r="P868" s="132" t="s">
        <v>245</v>
      </c>
      <c r="Q868" s="133">
        <v>396</v>
      </c>
      <c r="R868" s="132" t="s">
        <v>279</v>
      </c>
      <c r="S868" s="132" t="s">
        <v>11</v>
      </c>
      <c r="T868" s="134">
        <v>42246</v>
      </c>
      <c r="U868" s="172">
        <f t="shared" si="49"/>
        <v>2015</v>
      </c>
      <c r="V868" s="172">
        <f t="shared" si="50"/>
        <v>8</v>
      </c>
      <c r="W868" s="44" t="s">
        <v>291</v>
      </c>
      <c r="X868" t="s">
        <v>892</v>
      </c>
      <c r="Y868">
        <v>1</v>
      </c>
      <c r="AA868" s="13">
        <f t="shared" si="48"/>
        <v>112000</v>
      </c>
      <c r="AE868" s="43"/>
      <c r="AL868" s="87" t="s">
        <v>819</v>
      </c>
      <c r="AM868" s="86">
        <v>458811</v>
      </c>
    </row>
    <row r="869" spans="13:39" hidden="1">
      <c r="M869" s="131">
        <v>112112</v>
      </c>
      <c r="N869" s="223">
        <v>484413</v>
      </c>
      <c r="O869" s="132" t="s">
        <v>244</v>
      </c>
      <c r="P869" s="132" t="s">
        <v>245</v>
      </c>
      <c r="Q869" s="133">
        <v>480</v>
      </c>
      <c r="R869" s="132" t="s">
        <v>279</v>
      </c>
      <c r="S869" s="132" t="s">
        <v>11</v>
      </c>
      <c r="T869" s="134">
        <v>42246</v>
      </c>
      <c r="U869" s="172">
        <f t="shared" si="49"/>
        <v>2015</v>
      </c>
      <c r="V869" s="172">
        <f t="shared" si="50"/>
        <v>8</v>
      </c>
      <c r="W869" s="44" t="s">
        <v>291</v>
      </c>
      <c r="X869" t="s">
        <v>892</v>
      </c>
      <c r="Y869">
        <v>1</v>
      </c>
      <c r="AA869" s="13">
        <f t="shared" si="48"/>
        <v>112112</v>
      </c>
      <c r="AE869" s="43"/>
      <c r="AL869" s="87" t="s">
        <v>819</v>
      </c>
      <c r="AM869" s="86">
        <v>4593307</v>
      </c>
    </row>
    <row r="870" spans="13:39" hidden="1">
      <c r="M870" s="131">
        <v>112118</v>
      </c>
      <c r="N870" s="223">
        <v>579954</v>
      </c>
      <c r="O870" s="132" t="s">
        <v>244</v>
      </c>
      <c r="P870" s="132" t="s">
        <v>245</v>
      </c>
      <c r="Q870" s="133">
        <v>1021</v>
      </c>
      <c r="R870" s="132" t="s">
        <v>279</v>
      </c>
      <c r="S870" s="132" t="s">
        <v>11</v>
      </c>
      <c r="T870" s="134">
        <v>42548</v>
      </c>
      <c r="U870" s="172">
        <f t="shared" si="49"/>
        <v>2016</v>
      </c>
      <c r="V870" s="172">
        <f t="shared" si="50"/>
        <v>6</v>
      </c>
      <c r="W870" s="44" t="s">
        <v>280</v>
      </c>
      <c r="X870" t="s">
        <v>892</v>
      </c>
      <c r="Y870">
        <v>1</v>
      </c>
      <c r="AA870" s="13">
        <f t="shared" si="48"/>
        <v>112118</v>
      </c>
      <c r="AE870" s="43"/>
      <c r="AL870" s="87" t="s">
        <v>819</v>
      </c>
      <c r="AM870" s="86">
        <v>459460</v>
      </c>
    </row>
    <row r="871" spans="13:39" hidden="1">
      <c r="M871" s="131">
        <v>112500</v>
      </c>
      <c r="N871" s="223">
        <v>491350</v>
      </c>
      <c r="O871" s="132" t="s">
        <v>244</v>
      </c>
      <c r="P871" s="132" t="s">
        <v>245</v>
      </c>
      <c r="Q871" s="133">
        <v>126</v>
      </c>
      <c r="R871" s="132" t="s">
        <v>279</v>
      </c>
      <c r="S871" s="132" t="s">
        <v>11</v>
      </c>
      <c r="T871" s="134">
        <v>42246</v>
      </c>
      <c r="U871" s="172">
        <f t="shared" si="49"/>
        <v>2015</v>
      </c>
      <c r="V871" s="172">
        <f t="shared" si="50"/>
        <v>8</v>
      </c>
      <c r="W871" s="44" t="s">
        <v>291</v>
      </c>
      <c r="X871" t="s">
        <v>892</v>
      </c>
      <c r="Y871">
        <v>1</v>
      </c>
      <c r="AA871" s="13">
        <f t="shared" si="48"/>
        <v>112500</v>
      </c>
      <c r="AE871" s="43"/>
      <c r="AL871" s="87" t="s">
        <v>819</v>
      </c>
      <c r="AM871" s="86">
        <v>460202</v>
      </c>
    </row>
    <row r="872" spans="13:39" hidden="1">
      <c r="M872" s="131">
        <v>112500</v>
      </c>
      <c r="N872" s="223">
        <v>491350</v>
      </c>
      <c r="O872" s="132" t="s">
        <v>244</v>
      </c>
      <c r="P872" s="132" t="s">
        <v>245</v>
      </c>
      <c r="Q872" s="133">
        <v>129</v>
      </c>
      <c r="R872" s="132" t="s">
        <v>279</v>
      </c>
      <c r="S872" s="132" t="s">
        <v>11</v>
      </c>
      <c r="T872" s="134">
        <v>42246</v>
      </c>
      <c r="U872" s="172">
        <f t="shared" si="49"/>
        <v>2015</v>
      </c>
      <c r="V872" s="172">
        <f t="shared" si="50"/>
        <v>8</v>
      </c>
      <c r="W872" s="44" t="s">
        <v>291</v>
      </c>
      <c r="X872" t="s">
        <v>892</v>
      </c>
      <c r="Y872">
        <v>1</v>
      </c>
      <c r="AA872" s="13">
        <f t="shared" si="48"/>
        <v>112500</v>
      </c>
      <c r="AE872" s="43"/>
      <c r="AL872" s="87" t="s">
        <v>819</v>
      </c>
      <c r="AM872" s="86">
        <v>460519</v>
      </c>
    </row>
    <row r="873" spans="13:39" hidden="1">
      <c r="M873" s="131">
        <v>112520</v>
      </c>
      <c r="N873" s="223">
        <v>454823</v>
      </c>
      <c r="O873" s="132" t="s">
        <v>244</v>
      </c>
      <c r="P873" s="132" t="s">
        <v>245</v>
      </c>
      <c r="Q873" s="133">
        <v>1152</v>
      </c>
      <c r="R873" s="132" t="s">
        <v>279</v>
      </c>
      <c r="S873" s="132" t="s">
        <v>11</v>
      </c>
      <c r="T873" s="134">
        <v>42548</v>
      </c>
      <c r="U873" s="172">
        <f t="shared" si="49"/>
        <v>2016</v>
      </c>
      <c r="V873" s="172">
        <f t="shared" si="50"/>
        <v>6</v>
      </c>
      <c r="W873" s="44" t="s">
        <v>280</v>
      </c>
      <c r="X873" t="s">
        <v>892</v>
      </c>
      <c r="Y873">
        <v>1</v>
      </c>
      <c r="AA873" s="13">
        <f t="shared" si="48"/>
        <v>112520</v>
      </c>
      <c r="AE873" s="43"/>
      <c r="AL873" s="87" t="s">
        <v>819</v>
      </c>
      <c r="AM873" s="86">
        <v>460533</v>
      </c>
    </row>
    <row r="874" spans="13:39" hidden="1">
      <c r="M874" s="131">
        <v>112690</v>
      </c>
      <c r="N874" s="223">
        <v>573120</v>
      </c>
      <c r="O874" s="132" t="s">
        <v>244</v>
      </c>
      <c r="P874" s="132" t="s">
        <v>245</v>
      </c>
      <c r="Q874" s="133">
        <v>1484</v>
      </c>
      <c r="R874" s="132" t="s">
        <v>279</v>
      </c>
      <c r="S874" s="132" t="s">
        <v>11</v>
      </c>
      <c r="T874" s="134">
        <v>42548</v>
      </c>
      <c r="U874" s="172">
        <f t="shared" si="49"/>
        <v>2016</v>
      </c>
      <c r="V874" s="172">
        <f t="shared" si="50"/>
        <v>6</v>
      </c>
      <c r="W874" s="44" t="s">
        <v>280</v>
      </c>
      <c r="X874" t="s">
        <v>892</v>
      </c>
      <c r="Y874">
        <v>1</v>
      </c>
      <c r="AA874" s="13">
        <f t="shared" si="48"/>
        <v>112690</v>
      </c>
      <c r="AE874" s="43"/>
      <c r="AL874" s="87" t="s">
        <v>819</v>
      </c>
      <c r="AM874" s="86">
        <v>461658</v>
      </c>
    </row>
    <row r="875" spans="13:39" hidden="1">
      <c r="M875" s="131">
        <v>113000</v>
      </c>
      <c r="N875" s="223">
        <v>478174</v>
      </c>
      <c r="O875" s="132" t="s">
        <v>244</v>
      </c>
      <c r="P875" s="132" t="s">
        <v>245</v>
      </c>
      <c r="Q875" s="133">
        <v>1201</v>
      </c>
      <c r="R875" s="132" t="s">
        <v>279</v>
      </c>
      <c r="S875" s="132" t="s">
        <v>11</v>
      </c>
      <c r="T875" s="134">
        <v>42548</v>
      </c>
      <c r="U875" s="172">
        <f t="shared" si="49"/>
        <v>2016</v>
      </c>
      <c r="V875" s="172">
        <f t="shared" si="50"/>
        <v>6</v>
      </c>
      <c r="W875" s="44" t="s">
        <v>280</v>
      </c>
      <c r="X875" t="s">
        <v>892</v>
      </c>
      <c r="Y875">
        <v>1</v>
      </c>
      <c r="AA875" s="13">
        <f t="shared" si="48"/>
        <v>113000</v>
      </c>
      <c r="AE875" s="43"/>
      <c r="AL875" s="87" t="s">
        <v>819</v>
      </c>
      <c r="AM875" s="86">
        <v>46319666</v>
      </c>
    </row>
    <row r="876" spans="13:39" hidden="1">
      <c r="M876" s="131">
        <v>113235</v>
      </c>
      <c r="N876" s="223">
        <v>487882</v>
      </c>
      <c r="O876" s="132" t="s">
        <v>244</v>
      </c>
      <c r="P876" s="132" t="s">
        <v>245</v>
      </c>
      <c r="Q876" s="133">
        <v>128</v>
      </c>
      <c r="R876" s="132" t="s">
        <v>279</v>
      </c>
      <c r="S876" s="132" t="s">
        <v>11</v>
      </c>
      <c r="T876" s="134">
        <v>42246</v>
      </c>
      <c r="U876" s="172">
        <f t="shared" si="49"/>
        <v>2015</v>
      </c>
      <c r="V876" s="172">
        <f t="shared" si="50"/>
        <v>8</v>
      </c>
      <c r="W876" s="44" t="s">
        <v>291</v>
      </c>
      <c r="X876" t="s">
        <v>892</v>
      </c>
      <c r="Y876">
        <v>1</v>
      </c>
      <c r="AA876" s="13">
        <f t="shared" si="48"/>
        <v>113235</v>
      </c>
      <c r="AE876" s="43"/>
      <c r="AL876" s="87" t="s">
        <v>819</v>
      </c>
      <c r="AM876" s="86">
        <v>4641028</v>
      </c>
    </row>
    <row r="877" spans="13:39" hidden="1">
      <c r="M877" s="131">
        <v>113555</v>
      </c>
      <c r="N877" s="223">
        <v>491845</v>
      </c>
      <c r="O877" s="132" t="s">
        <v>244</v>
      </c>
      <c r="P877" s="132" t="s">
        <v>245</v>
      </c>
      <c r="Q877" s="133">
        <v>450</v>
      </c>
      <c r="R877" s="132" t="s">
        <v>279</v>
      </c>
      <c r="S877" s="132" t="s">
        <v>11</v>
      </c>
      <c r="T877" s="134">
        <v>42246</v>
      </c>
      <c r="U877" s="172">
        <f t="shared" si="49"/>
        <v>2015</v>
      </c>
      <c r="V877" s="172">
        <f t="shared" si="50"/>
        <v>8</v>
      </c>
      <c r="W877" s="44" t="s">
        <v>291</v>
      </c>
      <c r="X877" t="s">
        <v>892</v>
      </c>
      <c r="Y877">
        <v>1</v>
      </c>
      <c r="AA877" s="13">
        <f t="shared" si="48"/>
        <v>113555</v>
      </c>
      <c r="AE877" s="43"/>
      <c r="AL877" s="87" t="s">
        <v>819</v>
      </c>
      <c r="AM877" s="86">
        <v>466214</v>
      </c>
    </row>
    <row r="878" spans="13:39" hidden="1">
      <c r="M878" s="131">
        <v>113555</v>
      </c>
      <c r="N878" s="223">
        <v>532980</v>
      </c>
      <c r="O878" s="132" t="s">
        <v>244</v>
      </c>
      <c r="P878" s="132" t="s">
        <v>245</v>
      </c>
      <c r="Q878" s="133">
        <v>19</v>
      </c>
      <c r="R878" s="132" t="s">
        <v>279</v>
      </c>
      <c r="S878" s="132" t="s">
        <v>11</v>
      </c>
      <c r="T878" s="134">
        <v>42246</v>
      </c>
      <c r="U878" s="172">
        <f t="shared" si="49"/>
        <v>2015</v>
      </c>
      <c r="V878" s="172">
        <f t="shared" si="50"/>
        <v>8</v>
      </c>
      <c r="W878" s="44" t="s">
        <v>291</v>
      </c>
      <c r="X878" t="s">
        <v>892</v>
      </c>
      <c r="Y878">
        <v>1</v>
      </c>
      <c r="AA878" s="13">
        <f t="shared" si="48"/>
        <v>113555</v>
      </c>
      <c r="AE878" s="43"/>
      <c r="AL878" s="87" t="s">
        <v>819</v>
      </c>
      <c r="AM878" s="86">
        <v>46682795</v>
      </c>
    </row>
    <row r="879" spans="13:39" hidden="1">
      <c r="M879" s="131">
        <v>113565</v>
      </c>
      <c r="N879" s="223">
        <v>599517</v>
      </c>
      <c r="O879" s="132" t="s">
        <v>244</v>
      </c>
      <c r="P879" s="132" t="s">
        <v>245</v>
      </c>
      <c r="Q879" s="133">
        <v>654</v>
      </c>
      <c r="R879" s="132" t="s">
        <v>279</v>
      </c>
      <c r="S879" s="132" t="s">
        <v>11</v>
      </c>
      <c r="T879" s="134">
        <v>42548</v>
      </c>
      <c r="U879" s="172">
        <f t="shared" si="49"/>
        <v>2016</v>
      </c>
      <c r="V879" s="172">
        <f t="shared" si="50"/>
        <v>6</v>
      </c>
      <c r="W879" s="44" t="s">
        <v>280</v>
      </c>
      <c r="X879" t="s">
        <v>892</v>
      </c>
      <c r="Y879">
        <v>1</v>
      </c>
      <c r="AA879" s="13">
        <f t="shared" si="48"/>
        <v>113565</v>
      </c>
      <c r="AE879" s="43"/>
      <c r="AL879" s="87" t="s">
        <v>819</v>
      </c>
      <c r="AM879" s="86">
        <v>466863</v>
      </c>
    </row>
    <row r="880" spans="13:39" hidden="1">
      <c r="M880" s="131">
        <v>114408</v>
      </c>
      <c r="N880" s="223">
        <v>543504</v>
      </c>
      <c r="O880" s="132" t="s">
        <v>244</v>
      </c>
      <c r="P880" s="132" t="s">
        <v>245</v>
      </c>
      <c r="Q880" s="133">
        <v>1431</v>
      </c>
      <c r="R880" s="132" t="s">
        <v>279</v>
      </c>
      <c r="S880" s="132" t="s">
        <v>11</v>
      </c>
      <c r="T880" s="134">
        <v>42548</v>
      </c>
      <c r="U880" s="172">
        <f t="shared" si="49"/>
        <v>2016</v>
      </c>
      <c r="V880" s="172">
        <f t="shared" si="50"/>
        <v>6</v>
      </c>
      <c r="W880" s="44" t="s">
        <v>280</v>
      </c>
      <c r="X880" t="s">
        <v>892</v>
      </c>
      <c r="Y880">
        <v>1</v>
      </c>
      <c r="AA880" s="13">
        <f t="shared" si="48"/>
        <v>114408</v>
      </c>
      <c r="AE880" s="43"/>
      <c r="AL880" s="87" t="s">
        <v>819</v>
      </c>
      <c r="AM880" s="86">
        <v>467425</v>
      </c>
    </row>
    <row r="881" spans="13:39" hidden="1">
      <c r="M881" s="131">
        <v>114799</v>
      </c>
      <c r="N881" s="223">
        <v>599887</v>
      </c>
      <c r="O881" s="132" t="s">
        <v>244</v>
      </c>
      <c r="P881" s="132" t="s">
        <v>245</v>
      </c>
      <c r="Q881" s="133">
        <v>142</v>
      </c>
      <c r="R881" s="132" t="s">
        <v>279</v>
      </c>
      <c r="S881" s="132" t="s">
        <v>11</v>
      </c>
      <c r="T881" s="134">
        <v>42548</v>
      </c>
      <c r="U881" s="172">
        <f t="shared" si="49"/>
        <v>2016</v>
      </c>
      <c r="V881" s="172">
        <f t="shared" si="50"/>
        <v>6</v>
      </c>
      <c r="W881" s="44" t="s">
        <v>280</v>
      </c>
      <c r="X881" t="s">
        <v>892</v>
      </c>
      <c r="Y881">
        <v>1</v>
      </c>
      <c r="AA881" s="13">
        <f t="shared" si="48"/>
        <v>114799</v>
      </c>
      <c r="AE881" s="43"/>
      <c r="AL881" s="87" t="s">
        <v>819</v>
      </c>
      <c r="AM881" s="86">
        <v>467425</v>
      </c>
    </row>
    <row r="882" spans="13:39" hidden="1">
      <c r="M882" s="131">
        <v>115000</v>
      </c>
      <c r="N882" s="223">
        <v>474996</v>
      </c>
      <c r="O882" s="132" t="s">
        <v>244</v>
      </c>
      <c r="P882" s="132" t="s">
        <v>245</v>
      </c>
      <c r="Q882" s="133">
        <v>515</v>
      </c>
      <c r="R882" s="132" t="s">
        <v>279</v>
      </c>
      <c r="S882" s="132" t="s">
        <v>11</v>
      </c>
      <c r="T882" s="134">
        <v>42246</v>
      </c>
      <c r="U882" s="172">
        <f t="shared" si="49"/>
        <v>2015</v>
      </c>
      <c r="V882" s="172">
        <f t="shared" si="50"/>
        <v>8</v>
      </c>
      <c r="W882" s="44" t="s">
        <v>291</v>
      </c>
      <c r="X882" t="s">
        <v>892</v>
      </c>
      <c r="Y882">
        <v>1</v>
      </c>
      <c r="AA882" s="13">
        <f t="shared" si="48"/>
        <v>115000</v>
      </c>
      <c r="AE882" s="43"/>
      <c r="AL882" s="87" t="s">
        <v>819</v>
      </c>
      <c r="AM882" s="86">
        <v>467857</v>
      </c>
    </row>
    <row r="883" spans="13:39" hidden="1">
      <c r="M883" s="131">
        <v>115000</v>
      </c>
      <c r="N883" s="223">
        <v>491350</v>
      </c>
      <c r="O883" s="132" t="s">
        <v>244</v>
      </c>
      <c r="P883" s="132" t="s">
        <v>245</v>
      </c>
      <c r="Q883" s="133">
        <v>110</v>
      </c>
      <c r="R883" s="132" t="s">
        <v>279</v>
      </c>
      <c r="S883" s="132" t="s">
        <v>11</v>
      </c>
      <c r="T883" s="134">
        <v>42246</v>
      </c>
      <c r="U883" s="172">
        <f t="shared" si="49"/>
        <v>2015</v>
      </c>
      <c r="V883" s="172">
        <f t="shared" si="50"/>
        <v>8</v>
      </c>
      <c r="W883" s="44" t="s">
        <v>291</v>
      </c>
      <c r="X883" t="s">
        <v>892</v>
      </c>
      <c r="Y883">
        <v>1</v>
      </c>
      <c r="AA883" s="13">
        <f t="shared" si="48"/>
        <v>115000</v>
      </c>
      <c r="AE883" s="43"/>
      <c r="AL883" s="87" t="s">
        <v>819</v>
      </c>
      <c r="AM883" s="86">
        <v>468492</v>
      </c>
    </row>
    <row r="884" spans="13:39" hidden="1">
      <c r="M884" s="131">
        <v>115000</v>
      </c>
      <c r="N884" s="223">
        <v>514458</v>
      </c>
      <c r="O884" s="132" t="s">
        <v>244</v>
      </c>
      <c r="P884" s="132" t="s">
        <v>245</v>
      </c>
      <c r="Q884" s="133">
        <v>1553</v>
      </c>
      <c r="R884" s="132" t="s">
        <v>279</v>
      </c>
      <c r="S884" s="132" t="s">
        <v>11</v>
      </c>
      <c r="T884" s="134">
        <v>42548</v>
      </c>
      <c r="U884" s="172">
        <f t="shared" si="49"/>
        <v>2016</v>
      </c>
      <c r="V884" s="172">
        <f t="shared" si="50"/>
        <v>6</v>
      </c>
      <c r="W884" s="44" t="s">
        <v>280</v>
      </c>
      <c r="X884" t="s">
        <v>892</v>
      </c>
      <c r="Y884">
        <v>1</v>
      </c>
      <c r="AA884" s="13">
        <f t="shared" si="48"/>
        <v>115000</v>
      </c>
      <c r="AE884" s="43"/>
      <c r="AL884" s="87" t="s">
        <v>819</v>
      </c>
      <c r="AM884" s="86">
        <v>468492</v>
      </c>
    </row>
    <row r="885" spans="13:39" hidden="1">
      <c r="M885" s="131">
        <v>115000</v>
      </c>
      <c r="N885" s="223">
        <v>564007</v>
      </c>
      <c r="O885" s="132" t="s">
        <v>244</v>
      </c>
      <c r="P885" s="132" t="s">
        <v>245</v>
      </c>
      <c r="Q885" s="133">
        <v>467</v>
      </c>
      <c r="R885" s="132" t="s">
        <v>279</v>
      </c>
      <c r="S885" s="132" t="s">
        <v>11</v>
      </c>
      <c r="T885" s="134">
        <v>42548</v>
      </c>
      <c r="U885" s="172">
        <f t="shared" si="49"/>
        <v>2016</v>
      </c>
      <c r="V885" s="172">
        <f t="shared" si="50"/>
        <v>6</v>
      </c>
      <c r="W885" s="44" t="s">
        <v>280</v>
      </c>
      <c r="X885" t="s">
        <v>892</v>
      </c>
      <c r="Y885">
        <v>1</v>
      </c>
      <c r="AA885" s="13">
        <f t="shared" si="48"/>
        <v>115000</v>
      </c>
      <c r="AE885" s="43"/>
      <c r="AL885" s="87" t="s">
        <v>819</v>
      </c>
      <c r="AM885" s="86">
        <v>468492</v>
      </c>
    </row>
    <row r="886" spans="13:39" hidden="1">
      <c r="M886" s="131">
        <v>115001</v>
      </c>
      <c r="N886" s="223">
        <v>493828</v>
      </c>
      <c r="O886" s="132" t="s">
        <v>244</v>
      </c>
      <c r="P886" s="132" t="s">
        <v>245</v>
      </c>
      <c r="Q886" s="133">
        <v>393</v>
      </c>
      <c r="R886" s="132" t="s">
        <v>279</v>
      </c>
      <c r="S886" s="132" t="s">
        <v>11</v>
      </c>
      <c r="T886" s="134">
        <v>42246</v>
      </c>
      <c r="U886" s="172">
        <f t="shared" si="49"/>
        <v>2015</v>
      </c>
      <c r="V886" s="172">
        <f t="shared" si="50"/>
        <v>8</v>
      </c>
      <c r="W886" s="44" t="s">
        <v>291</v>
      </c>
      <c r="X886" t="s">
        <v>892</v>
      </c>
      <c r="Y886">
        <v>1</v>
      </c>
      <c r="AA886" s="13">
        <f t="shared" si="48"/>
        <v>115001</v>
      </c>
      <c r="AE886" s="43"/>
      <c r="AL886" s="87" t="s">
        <v>819</v>
      </c>
      <c r="AM886" s="86">
        <v>468492</v>
      </c>
    </row>
    <row r="887" spans="13:39" hidden="1">
      <c r="M887" s="131">
        <v>115340</v>
      </c>
      <c r="N887" s="223">
        <v>525863</v>
      </c>
      <c r="O887" s="132" t="s">
        <v>244</v>
      </c>
      <c r="P887" s="132" t="s">
        <v>245</v>
      </c>
      <c r="Q887" s="133">
        <v>675</v>
      </c>
      <c r="R887" s="132" t="s">
        <v>279</v>
      </c>
      <c r="S887" s="132" t="s">
        <v>11</v>
      </c>
      <c r="T887" s="134">
        <v>42246</v>
      </c>
      <c r="U887" s="172">
        <f t="shared" si="49"/>
        <v>2015</v>
      </c>
      <c r="V887" s="172">
        <f t="shared" si="50"/>
        <v>8</v>
      </c>
      <c r="W887" s="44" t="s">
        <v>291</v>
      </c>
      <c r="X887" t="s">
        <v>892</v>
      </c>
      <c r="Y887">
        <v>1</v>
      </c>
      <c r="AA887" s="13">
        <f t="shared" si="48"/>
        <v>115340</v>
      </c>
      <c r="AE887" s="43"/>
      <c r="AL887" s="87" t="s">
        <v>819</v>
      </c>
      <c r="AM887" s="86">
        <v>468492</v>
      </c>
    </row>
    <row r="888" spans="13:39" hidden="1">
      <c r="M888" s="131">
        <v>115770</v>
      </c>
      <c r="N888" s="223">
        <v>566286</v>
      </c>
      <c r="O888" s="132" t="s">
        <v>244</v>
      </c>
      <c r="P888" s="132" t="s">
        <v>245</v>
      </c>
      <c r="Q888" s="133">
        <v>461</v>
      </c>
      <c r="R888" s="132" t="s">
        <v>279</v>
      </c>
      <c r="S888" s="132" t="s">
        <v>11</v>
      </c>
      <c r="T888" s="134">
        <v>42548</v>
      </c>
      <c r="U888" s="172">
        <f t="shared" si="49"/>
        <v>2016</v>
      </c>
      <c r="V888" s="172">
        <f t="shared" si="50"/>
        <v>6</v>
      </c>
      <c r="W888" s="44" t="s">
        <v>280</v>
      </c>
      <c r="X888" t="s">
        <v>892</v>
      </c>
      <c r="Y888">
        <v>1</v>
      </c>
      <c r="AA888" s="13">
        <f t="shared" si="48"/>
        <v>115770</v>
      </c>
      <c r="AE888" s="43"/>
      <c r="AL888" s="87" t="s">
        <v>819</v>
      </c>
      <c r="AM888" s="86">
        <v>468492</v>
      </c>
    </row>
    <row r="889" spans="13:39" hidden="1">
      <c r="M889" s="131">
        <v>115999</v>
      </c>
      <c r="N889" s="223">
        <v>487385</v>
      </c>
      <c r="O889" s="132" t="s">
        <v>244</v>
      </c>
      <c r="P889" s="132" t="s">
        <v>245</v>
      </c>
      <c r="Q889" s="133">
        <v>196</v>
      </c>
      <c r="R889" s="132" t="s">
        <v>279</v>
      </c>
      <c r="S889" s="132" t="s">
        <v>11</v>
      </c>
      <c r="T889" s="134">
        <v>42246</v>
      </c>
      <c r="U889" s="172">
        <f t="shared" si="49"/>
        <v>2015</v>
      </c>
      <c r="V889" s="172">
        <f t="shared" si="50"/>
        <v>8</v>
      </c>
      <c r="W889" s="44" t="s">
        <v>291</v>
      </c>
      <c r="X889" t="s">
        <v>892</v>
      </c>
      <c r="Y889">
        <v>1</v>
      </c>
      <c r="AA889" s="13">
        <f t="shared" si="48"/>
        <v>115999</v>
      </c>
      <c r="AE889" s="43"/>
      <c r="AL889" s="87" t="s">
        <v>819</v>
      </c>
      <c r="AM889" s="86">
        <v>468492</v>
      </c>
    </row>
    <row r="890" spans="13:39" hidden="1">
      <c r="M890" s="131">
        <v>116000</v>
      </c>
      <c r="N890" s="223">
        <v>546921</v>
      </c>
      <c r="O890" s="132" t="s">
        <v>244</v>
      </c>
      <c r="P890" s="132" t="s">
        <v>245</v>
      </c>
      <c r="Q890" s="133">
        <v>1181</v>
      </c>
      <c r="R890" s="132" t="s">
        <v>279</v>
      </c>
      <c r="S890" s="132" t="s">
        <v>11</v>
      </c>
      <c r="T890" s="134">
        <v>42548</v>
      </c>
      <c r="U890" s="172">
        <f t="shared" si="49"/>
        <v>2016</v>
      </c>
      <c r="V890" s="172">
        <f t="shared" si="50"/>
        <v>6</v>
      </c>
      <c r="W890" s="44" t="s">
        <v>280</v>
      </c>
      <c r="X890" t="s">
        <v>892</v>
      </c>
      <c r="Y890">
        <v>1</v>
      </c>
      <c r="AA890" s="13">
        <f t="shared" si="48"/>
        <v>116000</v>
      </c>
      <c r="AE890" s="43"/>
      <c r="AL890" s="87" t="s">
        <v>819</v>
      </c>
      <c r="AM890" s="86">
        <v>468492</v>
      </c>
    </row>
    <row r="891" spans="13:39" hidden="1">
      <c r="M891" s="131">
        <v>116000</v>
      </c>
      <c r="N891" s="223">
        <v>562299</v>
      </c>
      <c r="O891" s="132" t="s">
        <v>244</v>
      </c>
      <c r="P891" s="132" t="s">
        <v>245</v>
      </c>
      <c r="Q891" s="133">
        <v>479</v>
      </c>
      <c r="R891" s="132" t="s">
        <v>279</v>
      </c>
      <c r="S891" s="132" t="s">
        <v>11</v>
      </c>
      <c r="T891" s="134">
        <v>42548</v>
      </c>
      <c r="U891" s="172">
        <f t="shared" si="49"/>
        <v>2016</v>
      </c>
      <c r="V891" s="172">
        <f t="shared" si="50"/>
        <v>6</v>
      </c>
      <c r="W891" s="44" t="s">
        <v>280</v>
      </c>
      <c r="X891" t="s">
        <v>892</v>
      </c>
      <c r="Y891">
        <v>1</v>
      </c>
      <c r="AA891" s="13">
        <f t="shared" si="48"/>
        <v>116000</v>
      </c>
      <c r="AE891" s="43"/>
      <c r="AL891" s="87" t="s">
        <v>819</v>
      </c>
      <c r="AM891" s="86">
        <v>468492</v>
      </c>
    </row>
    <row r="892" spans="13:39" hidden="1">
      <c r="M892" s="131">
        <v>116450</v>
      </c>
      <c r="N892" s="223">
        <v>493828</v>
      </c>
      <c r="O892" s="132" t="s">
        <v>244</v>
      </c>
      <c r="P892" s="132" t="s">
        <v>245</v>
      </c>
      <c r="Q892" s="133">
        <v>174</v>
      </c>
      <c r="R892" s="132" t="s">
        <v>279</v>
      </c>
      <c r="S892" s="132" t="s">
        <v>11</v>
      </c>
      <c r="T892" s="134">
        <v>42246</v>
      </c>
      <c r="U892" s="172">
        <f t="shared" si="49"/>
        <v>2015</v>
      </c>
      <c r="V892" s="172">
        <f t="shared" si="50"/>
        <v>8</v>
      </c>
      <c r="W892" s="44" t="s">
        <v>291</v>
      </c>
      <c r="X892" t="s">
        <v>892</v>
      </c>
      <c r="Y892">
        <v>1</v>
      </c>
      <c r="AA892" s="13">
        <f t="shared" si="48"/>
        <v>116450</v>
      </c>
      <c r="AE892" s="43"/>
      <c r="AL892" s="87" t="s">
        <v>819</v>
      </c>
      <c r="AM892" s="86">
        <v>468492</v>
      </c>
    </row>
    <row r="893" spans="13:39" hidden="1">
      <c r="M893" s="131">
        <v>116800</v>
      </c>
      <c r="N893" s="223">
        <v>578246</v>
      </c>
      <c r="O893" s="132" t="s">
        <v>244</v>
      </c>
      <c r="P893" s="132" t="s">
        <v>245</v>
      </c>
      <c r="Q893" s="133">
        <v>1483</v>
      </c>
      <c r="R893" s="132" t="s">
        <v>279</v>
      </c>
      <c r="S893" s="132" t="s">
        <v>11</v>
      </c>
      <c r="T893" s="134">
        <v>42548</v>
      </c>
      <c r="U893" s="172">
        <f t="shared" si="49"/>
        <v>2016</v>
      </c>
      <c r="V893" s="172">
        <f t="shared" si="50"/>
        <v>6</v>
      </c>
      <c r="W893" s="44" t="s">
        <v>280</v>
      </c>
      <c r="X893" t="s">
        <v>892</v>
      </c>
      <c r="Y893">
        <v>1</v>
      </c>
      <c r="AA893" s="13">
        <f t="shared" si="48"/>
        <v>116800</v>
      </c>
      <c r="AE893" s="43"/>
      <c r="AL893" s="87" t="s">
        <v>819</v>
      </c>
      <c r="AM893" s="86">
        <v>468492</v>
      </c>
    </row>
    <row r="894" spans="13:39" hidden="1">
      <c r="M894" s="131">
        <v>117000</v>
      </c>
      <c r="N894" s="223">
        <v>481439</v>
      </c>
      <c r="O894" s="132" t="s">
        <v>244</v>
      </c>
      <c r="P894" s="132" t="s">
        <v>245</v>
      </c>
      <c r="Q894" s="133">
        <v>13</v>
      </c>
      <c r="R894" s="132" t="s">
        <v>279</v>
      </c>
      <c r="S894" s="132" t="s">
        <v>11</v>
      </c>
      <c r="T894" s="134">
        <v>42246</v>
      </c>
      <c r="U894" s="172">
        <f t="shared" si="49"/>
        <v>2015</v>
      </c>
      <c r="V894" s="172">
        <f t="shared" si="50"/>
        <v>8</v>
      </c>
      <c r="W894" s="44" t="s">
        <v>291</v>
      </c>
      <c r="X894" t="s">
        <v>892</v>
      </c>
      <c r="Y894">
        <v>1</v>
      </c>
      <c r="AA894" s="13">
        <f t="shared" si="48"/>
        <v>117000</v>
      </c>
      <c r="AE894" s="43"/>
      <c r="AL894" s="87" t="s">
        <v>819</v>
      </c>
      <c r="AM894" s="86">
        <v>468492</v>
      </c>
    </row>
    <row r="895" spans="13:39" hidden="1">
      <c r="M895" s="131">
        <v>117350</v>
      </c>
      <c r="N895" s="223">
        <v>482430</v>
      </c>
      <c r="O895" s="132" t="s">
        <v>244</v>
      </c>
      <c r="P895" s="132" t="s">
        <v>245</v>
      </c>
      <c r="Q895" s="133">
        <v>258</v>
      </c>
      <c r="R895" s="132" t="s">
        <v>279</v>
      </c>
      <c r="S895" s="132" t="s">
        <v>11</v>
      </c>
      <c r="T895" s="134">
        <v>42246</v>
      </c>
      <c r="U895" s="172">
        <f t="shared" si="49"/>
        <v>2015</v>
      </c>
      <c r="V895" s="172">
        <f t="shared" si="50"/>
        <v>8</v>
      </c>
      <c r="W895" s="44" t="s">
        <v>291</v>
      </c>
      <c r="X895" t="s">
        <v>892</v>
      </c>
      <c r="Y895">
        <v>1</v>
      </c>
      <c r="AA895" s="13">
        <f t="shared" si="48"/>
        <v>117350</v>
      </c>
      <c r="AE895" s="43"/>
      <c r="AL895" s="87" t="s">
        <v>819</v>
      </c>
      <c r="AM895" s="86">
        <v>468492</v>
      </c>
    </row>
    <row r="896" spans="13:39" hidden="1">
      <c r="M896" s="131">
        <v>118000</v>
      </c>
      <c r="N896" s="223">
        <v>491845</v>
      </c>
      <c r="O896" s="132" t="s">
        <v>244</v>
      </c>
      <c r="P896" s="132" t="s">
        <v>245</v>
      </c>
      <c r="Q896" s="133">
        <v>18</v>
      </c>
      <c r="R896" s="132" t="s">
        <v>279</v>
      </c>
      <c r="S896" s="132" t="s">
        <v>11</v>
      </c>
      <c r="T896" s="134">
        <v>42246</v>
      </c>
      <c r="U896" s="172">
        <f t="shared" si="49"/>
        <v>2015</v>
      </c>
      <c r="V896" s="172">
        <f t="shared" si="50"/>
        <v>8</v>
      </c>
      <c r="W896" s="44" t="s">
        <v>291</v>
      </c>
      <c r="X896" t="s">
        <v>892</v>
      </c>
      <c r="Y896">
        <v>1</v>
      </c>
      <c r="AA896" s="13">
        <f t="shared" si="48"/>
        <v>118000</v>
      </c>
      <c r="AE896" s="43"/>
      <c r="AL896" s="87" t="s">
        <v>819</v>
      </c>
      <c r="AM896" s="86">
        <v>468492</v>
      </c>
    </row>
    <row r="897" spans="13:39" hidden="1">
      <c r="M897" s="131">
        <v>118000</v>
      </c>
      <c r="N897" s="223">
        <v>524141</v>
      </c>
      <c r="O897" s="132" t="s">
        <v>244</v>
      </c>
      <c r="P897" s="132" t="s">
        <v>245</v>
      </c>
      <c r="Q897" s="133">
        <v>1104</v>
      </c>
      <c r="R897" s="132" t="s">
        <v>279</v>
      </c>
      <c r="S897" s="132" t="s">
        <v>11</v>
      </c>
      <c r="T897" s="134">
        <v>42548</v>
      </c>
      <c r="U897" s="172">
        <f t="shared" si="49"/>
        <v>2016</v>
      </c>
      <c r="V897" s="172">
        <f t="shared" si="50"/>
        <v>6</v>
      </c>
      <c r="W897" s="44" t="s">
        <v>280</v>
      </c>
      <c r="X897" t="s">
        <v>892</v>
      </c>
      <c r="Y897">
        <v>1</v>
      </c>
      <c r="AA897" s="13">
        <f t="shared" si="48"/>
        <v>118000</v>
      </c>
      <c r="AE897" s="43"/>
      <c r="AL897" s="87" t="s">
        <v>819</v>
      </c>
      <c r="AM897" s="86">
        <v>468492</v>
      </c>
    </row>
    <row r="898" spans="13:39" hidden="1">
      <c r="M898" s="131">
        <v>118000</v>
      </c>
      <c r="N898" s="223">
        <v>562868</v>
      </c>
      <c r="O898" s="132" t="s">
        <v>244</v>
      </c>
      <c r="P898" s="132" t="s">
        <v>245</v>
      </c>
      <c r="Q898" s="133">
        <v>1287</v>
      </c>
      <c r="R898" s="132" t="s">
        <v>279</v>
      </c>
      <c r="S898" s="132" t="s">
        <v>11</v>
      </c>
      <c r="T898" s="134">
        <v>42548</v>
      </c>
      <c r="U898" s="172">
        <f t="shared" si="49"/>
        <v>2016</v>
      </c>
      <c r="V898" s="172">
        <f t="shared" si="50"/>
        <v>6</v>
      </c>
      <c r="W898" s="44" t="s">
        <v>280</v>
      </c>
      <c r="X898" t="s">
        <v>892</v>
      </c>
      <c r="Y898">
        <v>1</v>
      </c>
      <c r="AA898" s="13">
        <f t="shared" si="48"/>
        <v>118000</v>
      </c>
      <c r="AE898" s="43"/>
      <c r="AL898" s="87" t="s">
        <v>819</v>
      </c>
      <c r="AM898" s="86">
        <v>468492</v>
      </c>
    </row>
    <row r="899" spans="13:39" hidden="1">
      <c r="M899" s="131">
        <v>118000</v>
      </c>
      <c r="N899" s="223">
        <v>568563</v>
      </c>
      <c r="O899" s="132" t="s">
        <v>244</v>
      </c>
      <c r="P899" s="132" t="s">
        <v>245</v>
      </c>
      <c r="Q899" s="133">
        <v>1071</v>
      </c>
      <c r="R899" s="132" t="s">
        <v>279</v>
      </c>
      <c r="S899" s="132" t="s">
        <v>11</v>
      </c>
      <c r="T899" s="134">
        <v>42548</v>
      </c>
      <c r="U899" s="172">
        <f t="shared" si="49"/>
        <v>2016</v>
      </c>
      <c r="V899" s="172">
        <f t="shared" si="50"/>
        <v>6</v>
      </c>
      <c r="W899" s="44" t="s">
        <v>280</v>
      </c>
      <c r="X899" t="s">
        <v>892</v>
      </c>
      <c r="Y899">
        <v>1</v>
      </c>
      <c r="AA899" s="13">
        <f t="shared" si="48"/>
        <v>118000</v>
      </c>
      <c r="AE899" s="43"/>
      <c r="AL899" s="87" t="s">
        <v>819</v>
      </c>
      <c r="AM899" s="86">
        <v>468492</v>
      </c>
    </row>
    <row r="900" spans="13:39" hidden="1">
      <c r="M900" s="131">
        <v>118009</v>
      </c>
      <c r="N900" s="223">
        <v>485899</v>
      </c>
      <c r="O900" s="132" t="s">
        <v>244</v>
      </c>
      <c r="P900" s="132" t="s">
        <v>245</v>
      </c>
      <c r="Q900" s="133">
        <v>116</v>
      </c>
      <c r="R900" s="132" t="s">
        <v>279</v>
      </c>
      <c r="S900" s="132" t="s">
        <v>11</v>
      </c>
      <c r="T900" s="134">
        <v>42246</v>
      </c>
      <c r="U900" s="172">
        <f t="shared" si="49"/>
        <v>2015</v>
      </c>
      <c r="V900" s="172">
        <f t="shared" si="50"/>
        <v>8</v>
      </c>
      <c r="W900" s="44" t="s">
        <v>291</v>
      </c>
      <c r="X900" t="s">
        <v>892</v>
      </c>
      <c r="Y900">
        <v>1</v>
      </c>
      <c r="AA900" s="13">
        <f t="shared" ref="AA900:AA963" si="51">IF(M900&lt;30000,Y900*100*M900*(1-$L$1)-$L$2*Y900,M900)</f>
        <v>118009</v>
      </c>
      <c r="AE900" s="43"/>
      <c r="AL900" s="87" t="s">
        <v>819</v>
      </c>
      <c r="AM900" s="86">
        <v>468492</v>
      </c>
    </row>
    <row r="901" spans="13:39" hidden="1">
      <c r="M901" s="131">
        <v>118018</v>
      </c>
      <c r="N901" s="223">
        <v>483421</v>
      </c>
      <c r="O901" s="132" t="s">
        <v>244</v>
      </c>
      <c r="P901" s="132" t="s">
        <v>245</v>
      </c>
      <c r="Q901" s="133">
        <v>476</v>
      </c>
      <c r="R901" s="132" t="s">
        <v>279</v>
      </c>
      <c r="S901" s="132" t="s">
        <v>11</v>
      </c>
      <c r="T901" s="134">
        <v>42246</v>
      </c>
      <c r="U901" s="172">
        <f t="shared" si="49"/>
        <v>2015</v>
      </c>
      <c r="V901" s="172">
        <f t="shared" si="50"/>
        <v>8</v>
      </c>
      <c r="W901" s="44" t="s">
        <v>291</v>
      </c>
      <c r="X901" t="s">
        <v>892</v>
      </c>
      <c r="Y901">
        <v>1</v>
      </c>
      <c r="AA901" s="13">
        <f t="shared" si="51"/>
        <v>118018</v>
      </c>
      <c r="AE901" s="43"/>
      <c r="AL901" s="87" t="s">
        <v>819</v>
      </c>
      <c r="AM901" s="86">
        <v>468492</v>
      </c>
    </row>
    <row r="902" spans="13:39" hidden="1">
      <c r="M902" s="131">
        <v>118018</v>
      </c>
      <c r="N902" s="223">
        <v>490854</v>
      </c>
      <c r="O902" s="132" t="s">
        <v>244</v>
      </c>
      <c r="P902" s="132" t="s">
        <v>245</v>
      </c>
      <c r="Q902" s="133">
        <v>130</v>
      </c>
      <c r="R902" s="132" t="s">
        <v>279</v>
      </c>
      <c r="S902" s="132" t="s">
        <v>11</v>
      </c>
      <c r="T902" s="134">
        <v>42246</v>
      </c>
      <c r="U902" s="172">
        <f t="shared" si="49"/>
        <v>2015</v>
      </c>
      <c r="V902" s="172">
        <f t="shared" si="50"/>
        <v>8</v>
      </c>
      <c r="W902" s="44" t="s">
        <v>291</v>
      </c>
      <c r="X902" t="s">
        <v>892</v>
      </c>
      <c r="Y902">
        <v>1</v>
      </c>
      <c r="AA902" s="13">
        <f t="shared" si="51"/>
        <v>118018</v>
      </c>
      <c r="AE902" s="43"/>
      <c r="AL902" s="87" t="s">
        <v>819</v>
      </c>
      <c r="AM902" s="86">
        <v>468492</v>
      </c>
    </row>
    <row r="903" spans="13:39" hidden="1">
      <c r="M903" s="131">
        <v>118119</v>
      </c>
      <c r="N903" s="223">
        <v>476482</v>
      </c>
      <c r="O903" s="132" t="s">
        <v>244</v>
      </c>
      <c r="P903" s="132" t="s">
        <v>245</v>
      </c>
      <c r="Q903" s="133">
        <v>119</v>
      </c>
      <c r="R903" s="132" t="s">
        <v>279</v>
      </c>
      <c r="S903" s="132" t="s">
        <v>11</v>
      </c>
      <c r="T903" s="134">
        <v>42246</v>
      </c>
      <c r="U903" s="172">
        <f t="shared" ref="U903:U966" si="52">YEAR($T903)</f>
        <v>2015</v>
      </c>
      <c r="V903" s="172">
        <f t="shared" ref="V903:V966" si="53">MONTH($T903)</f>
        <v>8</v>
      </c>
      <c r="W903" s="44" t="s">
        <v>291</v>
      </c>
      <c r="X903" t="s">
        <v>892</v>
      </c>
      <c r="Y903">
        <v>1</v>
      </c>
      <c r="AA903" s="13">
        <f t="shared" si="51"/>
        <v>118119</v>
      </c>
      <c r="AE903" s="43"/>
      <c r="AL903" s="87" t="s">
        <v>819</v>
      </c>
      <c r="AM903" s="86">
        <v>468492</v>
      </c>
    </row>
    <row r="904" spans="13:39" hidden="1">
      <c r="M904" s="131">
        <v>118156</v>
      </c>
      <c r="N904" s="223">
        <v>559450</v>
      </c>
      <c r="O904" s="132" t="s">
        <v>244</v>
      </c>
      <c r="P904" s="132" t="s">
        <v>245</v>
      </c>
      <c r="Q904" s="133">
        <v>330</v>
      </c>
      <c r="R904" s="132" t="s">
        <v>279</v>
      </c>
      <c r="S904" s="132" t="s">
        <v>11</v>
      </c>
      <c r="T904" s="134">
        <v>42548</v>
      </c>
      <c r="U904" s="172">
        <f t="shared" si="52"/>
        <v>2016</v>
      </c>
      <c r="V904" s="172">
        <f t="shared" si="53"/>
        <v>6</v>
      </c>
      <c r="W904" s="44" t="s">
        <v>280</v>
      </c>
      <c r="X904" t="s">
        <v>892</v>
      </c>
      <c r="Y904">
        <v>1</v>
      </c>
      <c r="AA904" s="13">
        <f t="shared" si="51"/>
        <v>118156</v>
      </c>
      <c r="AE904" s="43"/>
      <c r="AL904" s="87" t="s">
        <v>819</v>
      </c>
      <c r="AM904" s="86">
        <v>468492</v>
      </c>
    </row>
    <row r="905" spans="13:39" hidden="1">
      <c r="M905" s="131">
        <v>118188</v>
      </c>
      <c r="N905" s="223">
        <v>526358</v>
      </c>
      <c r="O905" s="132" t="s">
        <v>244</v>
      </c>
      <c r="P905" s="132" t="s">
        <v>245</v>
      </c>
      <c r="Q905" s="133">
        <v>666</v>
      </c>
      <c r="R905" s="132" t="s">
        <v>279</v>
      </c>
      <c r="S905" s="132" t="s">
        <v>11</v>
      </c>
      <c r="T905" s="134">
        <v>42246</v>
      </c>
      <c r="U905" s="172">
        <f t="shared" si="52"/>
        <v>2015</v>
      </c>
      <c r="V905" s="172">
        <f t="shared" si="53"/>
        <v>8</v>
      </c>
      <c r="W905" s="44" t="s">
        <v>291</v>
      </c>
      <c r="X905" t="s">
        <v>892</v>
      </c>
      <c r="Y905">
        <v>1</v>
      </c>
      <c r="AA905" s="13">
        <f t="shared" si="51"/>
        <v>118188</v>
      </c>
      <c r="AE905" s="43"/>
      <c r="AL905" s="87" t="s">
        <v>819</v>
      </c>
      <c r="AM905" s="86">
        <v>468492</v>
      </c>
    </row>
    <row r="906" spans="13:39" hidden="1">
      <c r="M906" s="131">
        <v>118290</v>
      </c>
      <c r="N906" s="223">
        <v>586219</v>
      </c>
      <c r="O906" s="132" t="s">
        <v>244</v>
      </c>
      <c r="P906" s="132" t="s">
        <v>245</v>
      </c>
      <c r="Q906" s="133">
        <v>1208</v>
      </c>
      <c r="R906" s="132" t="s">
        <v>279</v>
      </c>
      <c r="S906" s="132" t="s">
        <v>11</v>
      </c>
      <c r="T906" s="134">
        <v>42548</v>
      </c>
      <c r="U906" s="172">
        <f t="shared" si="52"/>
        <v>2016</v>
      </c>
      <c r="V906" s="172">
        <f t="shared" si="53"/>
        <v>6</v>
      </c>
      <c r="W906" s="44" t="s">
        <v>280</v>
      </c>
      <c r="X906" t="s">
        <v>892</v>
      </c>
      <c r="Y906">
        <v>1</v>
      </c>
      <c r="AA906" s="13">
        <f t="shared" si="51"/>
        <v>118290</v>
      </c>
      <c r="AE906" s="43"/>
      <c r="AL906" s="87" t="s">
        <v>819</v>
      </c>
      <c r="AM906" s="86">
        <v>468492</v>
      </c>
    </row>
    <row r="907" spans="13:39" hidden="1">
      <c r="M907" s="131">
        <v>118366</v>
      </c>
      <c r="N907" s="223">
        <v>493828</v>
      </c>
      <c r="O907" s="132" t="s">
        <v>244</v>
      </c>
      <c r="P907" s="132" t="s">
        <v>245</v>
      </c>
      <c r="Q907" s="133">
        <v>26</v>
      </c>
      <c r="R907" s="132" t="s">
        <v>279</v>
      </c>
      <c r="S907" s="132" t="s">
        <v>11</v>
      </c>
      <c r="T907" s="134">
        <v>42246</v>
      </c>
      <c r="U907" s="172">
        <f t="shared" si="52"/>
        <v>2015</v>
      </c>
      <c r="V907" s="172">
        <f t="shared" si="53"/>
        <v>8</v>
      </c>
      <c r="W907" s="44" t="s">
        <v>291</v>
      </c>
      <c r="X907" t="s">
        <v>892</v>
      </c>
      <c r="Y907">
        <v>1</v>
      </c>
      <c r="AA907" s="13">
        <f t="shared" si="51"/>
        <v>118366</v>
      </c>
      <c r="AE907" s="43"/>
      <c r="AL907" s="87" t="s">
        <v>819</v>
      </c>
      <c r="AM907" s="86">
        <v>468492</v>
      </c>
    </row>
    <row r="908" spans="13:39" hidden="1">
      <c r="M908" s="131">
        <v>118379</v>
      </c>
      <c r="N908" s="223">
        <v>530138</v>
      </c>
      <c r="O908" s="132" t="s">
        <v>244</v>
      </c>
      <c r="P908" s="132" t="s">
        <v>245</v>
      </c>
      <c r="Q908" s="133">
        <v>1374</v>
      </c>
      <c r="R908" s="132" t="s">
        <v>279</v>
      </c>
      <c r="S908" s="132" t="s">
        <v>11</v>
      </c>
      <c r="T908" s="134">
        <v>42548</v>
      </c>
      <c r="U908" s="172">
        <f t="shared" si="52"/>
        <v>2016</v>
      </c>
      <c r="V908" s="172">
        <f t="shared" si="53"/>
        <v>6</v>
      </c>
      <c r="W908" s="44" t="s">
        <v>280</v>
      </c>
      <c r="X908" t="s">
        <v>892</v>
      </c>
      <c r="Y908">
        <v>1</v>
      </c>
      <c r="AA908" s="13">
        <f t="shared" si="51"/>
        <v>118379</v>
      </c>
      <c r="AE908" s="43"/>
      <c r="AL908" s="87" t="s">
        <v>819</v>
      </c>
      <c r="AM908" s="86">
        <v>468492</v>
      </c>
    </row>
    <row r="909" spans="13:39" hidden="1">
      <c r="M909" s="131">
        <v>118500</v>
      </c>
      <c r="N909" s="223">
        <v>493828</v>
      </c>
      <c r="O909" s="132" t="s">
        <v>244</v>
      </c>
      <c r="P909" s="132" t="s">
        <v>245</v>
      </c>
      <c r="Q909" s="133">
        <v>290</v>
      </c>
      <c r="R909" s="132" t="s">
        <v>279</v>
      </c>
      <c r="S909" s="132" t="s">
        <v>11</v>
      </c>
      <c r="T909" s="134">
        <v>42246</v>
      </c>
      <c r="U909" s="172">
        <f t="shared" si="52"/>
        <v>2015</v>
      </c>
      <c r="V909" s="172">
        <f t="shared" si="53"/>
        <v>8</v>
      </c>
      <c r="W909" s="44" t="s">
        <v>291</v>
      </c>
      <c r="X909" t="s">
        <v>892</v>
      </c>
      <c r="Y909">
        <v>1</v>
      </c>
      <c r="AA909" s="13">
        <f t="shared" si="51"/>
        <v>118500</v>
      </c>
      <c r="AE909" s="43"/>
      <c r="AL909" s="87" t="s">
        <v>819</v>
      </c>
      <c r="AM909" s="86">
        <v>468492</v>
      </c>
    </row>
    <row r="910" spans="13:39" hidden="1">
      <c r="M910" s="131">
        <v>118888</v>
      </c>
      <c r="N910" s="223">
        <v>480447</v>
      </c>
      <c r="O910" s="132" t="s">
        <v>244</v>
      </c>
      <c r="P910" s="132" t="s">
        <v>245</v>
      </c>
      <c r="Q910" s="133">
        <v>262</v>
      </c>
      <c r="R910" s="132" t="s">
        <v>279</v>
      </c>
      <c r="S910" s="132" t="s">
        <v>11</v>
      </c>
      <c r="T910" s="134">
        <v>42246</v>
      </c>
      <c r="U910" s="172">
        <f t="shared" si="52"/>
        <v>2015</v>
      </c>
      <c r="V910" s="172">
        <f t="shared" si="53"/>
        <v>8</v>
      </c>
      <c r="W910" s="44" t="s">
        <v>291</v>
      </c>
      <c r="X910" t="s">
        <v>892</v>
      </c>
      <c r="Y910">
        <v>1</v>
      </c>
      <c r="AA910" s="13">
        <f t="shared" si="51"/>
        <v>118888</v>
      </c>
      <c r="AE910" s="43"/>
      <c r="AL910" s="87" t="s">
        <v>819</v>
      </c>
      <c r="AM910" s="86">
        <v>468492</v>
      </c>
    </row>
    <row r="911" spans="13:39" hidden="1">
      <c r="M911" s="131">
        <v>118999</v>
      </c>
      <c r="N911" s="223">
        <v>567424</v>
      </c>
      <c r="O911" s="132" t="s">
        <v>244</v>
      </c>
      <c r="P911" s="132" t="s">
        <v>245</v>
      </c>
      <c r="Q911" s="133">
        <v>529</v>
      </c>
      <c r="R911" s="132" t="s">
        <v>279</v>
      </c>
      <c r="S911" s="132" t="s">
        <v>11</v>
      </c>
      <c r="T911" s="134">
        <v>42548</v>
      </c>
      <c r="U911" s="172">
        <f t="shared" si="52"/>
        <v>2016</v>
      </c>
      <c r="V911" s="172">
        <f t="shared" si="53"/>
        <v>6</v>
      </c>
      <c r="W911" s="44" t="s">
        <v>280</v>
      </c>
      <c r="X911" t="s">
        <v>892</v>
      </c>
      <c r="Y911">
        <v>1</v>
      </c>
      <c r="AA911" s="13">
        <f t="shared" si="51"/>
        <v>118999</v>
      </c>
      <c r="AE911" s="43"/>
      <c r="AL911" s="87" t="s">
        <v>819</v>
      </c>
      <c r="AM911" s="86">
        <v>468492</v>
      </c>
    </row>
    <row r="912" spans="13:39" hidden="1">
      <c r="M912" s="131">
        <v>119000</v>
      </c>
      <c r="N912" s="223">
        <v>604444</v>
      </c>
      <c r="O912" s="132" t="s">
        <v>244</v>
      </c>
      <c r="P912" s="132" t="s">
        <v>245</v>
      </c>
      <c r="Q912" s="133">
        <v>1059</v>
      </c>
      <c r="R912" s="132" t="s">
        <v>279</v>
      </c>
      <c r="S912" s="132" t="s">
        <v>11</v>
      </c>
      <c r="T912" s="134">
        <v>42548</v>
      </c>
      <c r="U912" s="172">
        <f t="shared" si="52"/>
        <v>2016</v>
      </c>
      <c r="V912" s="172">
        <f t="shared" si="53"/>
        <v>6</v>
      </c>
      <c r="W912" s="44" t="s">
        <v>280</v>
      </c>
      <c r="X912" t="s">
        <v>892</v>
      </c>
      <c r="Y912">
        <v>1</v>
      </c>
      <c r="AA912" s="13">
        <f t="shared" si="51"/>
        <v>119000</v>
      </c>
      <c r="AE912" s="43"/>
      <c r="AL912" s="87" t="s">
        <v>819</v>
      </c>
      <c r="AM912" s="86">
        <v>468492</v>
      </c>
    </row>
    <row r="913" spans="13:39" hidden="1">
      <c r="M913" s="131">
        <v>119172</v>
      </c>
      <c r="N913" s="223">
        <v>493828</v>
      </c>
      <c r="O913" s="132" t="s">
        <v>244</v>
      </c>
      <c r="P913" s="132" t="s">
        <v>245</v>
      </c>
      <c r="Q913" s="133">
        <v>392</v>
      </c>
      <c r="R913" s="132" t="s">
        <v>279</v>
      </c>
      <c r="S913" s="132" t="s">
        <v>11</v>
      </c>
      <c r="T913" s="134">
        <v>42246</v>
      </c>
      <c r="U913" s="172">
        <f t="shared" si="52"/>
        <v>2015</v>
      </c>
      <c r="V913" s="172">
        <f t="shared" si="53"/>
        <v>8</v>
      </c>
      <c r="W913" s="44" t="s">
        <v>291</v>
      </c>
      <c r="X913" t="s">
        <v>892</v>
      </c>
      <c r="Y913">
        <v>1</v>
      </c>
      <c r="AA913" s="13">
        <f t="shared" si="51"/>
        <v>119172</v>
      </c>
      <c r="AE913" s="43"/>
      <c r="AL913" s="87" t="s">
        <v>819</v>
      </c>
      <c r="AM913" s="86">
        <v>468492</v>
      </c>
    </row>
    <row r="914" spans="13:39" hidden="1">
      <c r="M914" s="131">
        <v>119658</v>
      </c>
      <c r="N914" s="223">
        <v>595331</v>
      </c>
      <c r="O914" s="132" t="s">
        <v>244</v>
      </c>
      <c r="P914" s="132" t="s">
        <v>245</v>
      </c>
      <c r="Q914" s="133">
        <v>1057</v>
      </c>
      <c r="R914" s="132" t="s">
        <v>279</v>
      </c>
      <c r="S914" s="132" t="s">
        <v>11</v>
      </c>
      <c r="T914" s="134">
        <v>42548</v>
      </c>
      <c r="U914" s="172">
        <f t="shared" si="52"/>
        <v>2016</v>
      </c>
      <c r="V914" s="172">
        <f t="shared" si="53"/>
        <v>6</v>
      </c>
      <c r="W914" s="44" t="s">
        <v>280</v>
      </c>
      <c r="X914" t="s">
        <v>892</v>
      </c>
      <c r="Y914">
        <v>1</v>
      </c>
      <c r="AA914" s="13">
        <f t="shared" si="51"/>
        <v>119658</v>
      </c>
      <c r="AE914" s="43"/>
      <c r="AL914" s="87" t="s">
        <v>819</v>
      </c>
      <c r="AM914" s="86">
        <v>468492</v>
      </c>
    </row>
    <row r="915" spans="13:39" hidden="1">
      <c r="M915" s="131">
        <v>119800</v>
      </c>
      <c r="N915" s="223">
        <v>487385</v>
      </c>
      <c r="O915" s="132" t="s">
        <v>244</v>
      </c>
      <c r="P915" s="132" t="s">
        <v>245</v>
      </c>
      <c r="Q915" s="133">
        <v>192</v>
      </c>
      <c r="R915" s="132" t="s">
        <v>279</v>
      </c>
      <c r="S915" s="132" t="s">
        <v>11</v>
      </c>
      <c r="T915" s="134">
        <v>42246</v>
      </c>
      <c r="U915" s="172">
        <f t="shared" si="52"/>
        <v>2015</v>
      </c>
      <c r="V915" s="172">
        <f t="shared" si="53"/>
        <v>8</v>
      </c>
      <c r="W915" s="44" t="s">
        <v>291</v>
      </c>
      <c r="X915" t="s">
        <v>892</v>
      </c>
      <c r="Y915">
        <v>1</v>
      </c>
      <c r="AA915" s="13">
        <f t="shared" si="51"/>
        <v>119800</v>
      </c>
      <c r="AE915" s="43"/>
      <c r="AL915" s="87" t="s">
        <v>819</v>
      </c>
      <c r="AM915" s="86">
        <v>468492</v>
      </c>
    </row>
    <row r="916" spans="13:39" hidden="1">
      <c r="M916" s="131">
        <v>120000</v>
      </c>
      <c r="N916" s="223">
        <v>478174</v>
      </c>
      <c r="O916" s="132" t="s">
        <v>244</v>
      </c>
      <c r="P916" s="132" t="s">
        <v>245</v>
      </c>
      <c r="Q916" s="133">
        <v>1363</v>
      </c>
      <c r="R916" s="132" t="s">
        <v>279</v>
      </c>
      <c r="S916" s="132" t="s">
        <v>11</v>
      </c>
      <c r="T916" s="134">
        <v>42548</v>
      </c>
      <c r="U916" s="172">
        <f t="shared" si="52"/>
        <v>2016</v>
      </c>
      <c r="V916" s="172">
        <f t="shared" si="53"/>
        <v>6</v>
      </c>
      <c r="W916" s="44" t="s">
        <v>280</v>
      </c>
      <c r="X916" t="s">
        <v>892</v>
      </c>
      <c r="Y916">
        <v>1</v>
      </c>
      <c r="AA916" s="13">
        <f t="shared" si="51"/>
        <v>120000</v>
      </c>
      <c r="AE916" s="43"/>
      <c r="AL916" s="87" t="s">
        <v>819</v>
      </c>
      <c r="AM916" s="86">
        <v>468492</v>
      </c>
    </row>
    <row r="917" spans="13:39" hidden="1">
      <c r="M917" s="131">
        <v>120000</v>
      </c>
      <c r="N917" s="223">
        <v>479456</v>
      </c>
      <c r="O917" s="132" t="s">
        <v>244</v>
      </c>
      <c r="P917" s="132" t="s">
        <v>245</v>
      </c>
      <c r="Q917" s="133">
        <v>438</v>
      </c>
      <c r="R917" s="132" t="s">
        <v>279</v>
      </c>
      <c r="S917" s="132" t="s">
        <v>11</v>
      </c>
      <c r="T917" s="134">
        <v>42246</v>
      </c>
      <c r="U917" s="172">
        <f t="shared" si="52"/>
        <v>2015</v>
      </c>
      <c r="V917" s="172">
        <f t="shared" si="53"/>
        <v>8</v>
      </c>
      <c r="W917" s="44" t="s">
        <v>291</v>
      </c>
      <c r="X917" t="s">
        <v>892</v>
      </c>
      <c r="Y917">
        <v>1</v>
      </c>
      <c r="AA917" s="13">
        <f t="shared" si="51"/>
        <v>120000</v>
      </c>
      <c r="AE917" s="43"/>
      <c r="AL917" s="87" t="s">
        <v>819</v>
      </c>
      <c r="AM917" s="86">
        <v>468492</v>
      </c>
    </row>
    <row r="918" spans="13:39" hidden="1">
      <c r="M918" s="131">
        <v>120000</v>
      </c>
      <c r="N918" s="223">
        <v>486890</v>
      </c>
      <c r="O918" s="132" t="s">
        <v>244</v>
      </c>
      <c r="P918" s="132" t="s">
        <v>245</v>
      </c>
      <c r="Q918" s="133">
        <v>487</v>
      </c>
      <c r="R918" s="132" t="s">
        <v>279</v>
      </c>
      <c r="S918" s="132" t="s">
        <v>11</v>
      </c>
      <c r="T918" s="134">
        <v>42246</v>
      </c>
      <c r="U918" s="172">
        <f t="shared" si="52"/>
        <v>2015</v>
      </c>
      <c r="V918" s="172">
        <f t="shared" si="53"/>
        <v>8</v>
      </c>
      <c r="W918" s="44" t="s">
        <v>291</v>
      </c>
      <c r="X918" t="s">
        <v>892</v>
      </c>
      <c r="Y918">
        <v>1</v>
      </c>
      <c r="AA918" s="13">
        <f t="shared" si="51"/>
        <v>120000</v>
      </c>
      <c r="AE918" s="43"/>
      <c r="AL918" s="87" t="s">
        <v>819</v>
      </c>
      <c r="AM918" s="86">
        <v>468492</v>
      </c>
    </row>
    <row r="919" spans="13:39" hidden="1">
      <c r="M919" s="131">
        <v>120000</v>
      </c>
      <c r="N919" s="223">
        <v>526358</v>
      </c>
      <c r="O919" s="132" t="s">
        <v>244</v>
      </c>
      <c r="P919" s="132" t="s">
        <v>245</v>
      </c>
      <c r="Q919" s="133">
        <v>669</v>
      </c>
      <c r="R919" s="132" t="s">
        <v>279</v>
      </c>
      <c r="S919" s="132" t="s">
        <v>11</v>
      </c>
      <c r="T919" s="134">
        <v>42246</v>
      </c>
      <c r="U919" s="172">
        <f t="shared" si="52"/>
        <v>2015</v>
      </c>
      <c r="V919" s="172">
        <f t="shared" si="53"/>
        <v>8</v>
      </c>
      <c r="W919" s="44" t="s">
        <v>291</v>
      </c>
      <c r="X919" t="s">
        <v>892</v>
      </c>
      <c r="Y919">
        <v>1</v>
      </c>
      <c r="AA919" s="13">
        <f t="shared" si="51"/>
        <v>120000</v>
      </c>
      <c r="AE919" s="43"/>
      <c r="AL919" s="87" t="s">
        <v>819</v>
      </c>
      <c r="AM919" s="86">
        <v>468492</v>
      </c>
    </row>
    <row r="920" spans="13:39" hidden="1">
      <c r="M920" s="131">
        <v>120000</v>
      </c>
      <c r="N920" s="223">
        <v>538378</v>
      </c>
      <c r="O920" s="132" t="s">
        <v>244</v>
      </c>
      <c r="P920" s="132" t="s">
        <v>245</v>
      </c>
      <c r="Q920" s="133">
        <v>1030</v>
      </c>
      <c r="R920" s="132" t="s">
        <v>279</v>
      </c>
      <c r="S920" s="132" t="s">
        <v>11</v>
      </c>
      <c r="T920" s="134">
        <v>42548</v>
      </c>
      <c r="U920" s="172">
        <f t="shared" si="52"/>
        <v>2016</v>
      </c>
      <c r="V920" s="172">
        <f t="shared" si="53"/>
        <v>6</v>
      </c>
      <c r="W920" s="44" t="s">
        <v>280</v>
      </c>
      <c r="X920" t="s">
        <v>892</v>
      </c>
      <c r="Y920">
        <v>1</v>
      </c>
      <c r="AA920" s="13">
        <f t="shared" si="51"/>
        <v>120000</v>
      </c>
      <c r="AE920" s="43"/>
      <c r="AL920" s="87" t="s">
        <v>819</v>
      </c>
      <c r="AM920" s="86">
        <v>468492</v>
      </c>
    </row>
    <row r="921" spans="13:39" hidden="1">
      <c r="M921" s="131">
        <v>120000</v>
      </c>
      <c r="N921" s="223">
        <v>542935</v>
      </c>
      <c r="O921" s="132" t="s">
        <v>244</v>
      </c>
      <c r="P921" s="132" t="s">
        <v>245</v>
      </c>
      <c r="Q921" s="133">
        <v>1414</v>
      </c>
      <c r="R921" s="132" t="s">
        <v>279</v>
      </c>
      <c r="S921" s="132" t="s">
        <v>11</v>
      </c>
      <c r="T921" s="134">
        <v>42548</v>
      </c>
      <c r="U921" s="172">
        <f t="shared" si="52"/>
        <v>2016</v>
      </c>
      <c r="V921" s="172">
        <f t="shared" si="53"/>
        <v>6</v>
      </c>
      <c r="W921" s="44" t="s">
        <v>280</v>
      </c>
      <c r="X921" t="s">
        <v>892</v>
      </c>
      <c r="Y921">
        <v>1</v>
      </c>
      <c r="AA921" s="13">
        <f t="shared" si="51"/>
        <v>120000</v>
      </c>
      <c r="AE921" s="43"/>
      <c r="AL921" s="87" t="s">
        <v>819</v>
      </c>
      <c r="AM921" s="86">
        <v>468492</v>
      </c>
    </row>
    <row r="922" spans="13:39" hidden="1">
      <c r="M922" s="131">
        <v>120000</v>
      </c>
      <c r="N922" s="223">
        <v>544643</v>
      </c>
      <c r="O922" s="132" t="s">
        <v>244</v>
      </c>
      <c r="P922" s="132" t="s">
        <v>245</v>
      </c>
      <c r="Q922" s="133">
        <v>1044</v>
      </c>
      <c r="R922" s="132" t="s">
        <v>279</v>
      </c>
      <c r="S922" s="132" t="s">
        <v>11</v>
      </c>
      <c r="T922" s="134">
        <v>42548</v>
      </c>
      <c r="U922" s="172">
        <f t="shared" si="52"/>
        <v>2016</v>
      </c>
      <c r="V922" s="172">
        <f t="shared" si="53"/>
        <v>6</v>
      </c>
      <c r="W922" s="44" t="s">
        <v>280</v>
      </c>
      <c r="X922" t="s">
        <v>892</v>
      </c>
      <c r="Y922">
        <v>1</v>
      </c>
      <c r="AA922" s="13">
        <f t="shared" si="51"/>
        <v>120000</v>
      </c>
      <c r="AE922" s="43"/>
      <c r="AL922" s="87" t="s">
        <v>819</v>
      </c>
      <c r="AM922" s="86">
        <v>468492</v>
      </c>
    </row>
    <row r="923" spans="13:39" hidden="1">
      <c r="M923" s="131">
        <v>120000</v>
      </c>
      <c r="N923" s="223">
        <v>544643</v>
      </c>
      <c r="O923" s="132" t="s">
        <v>244</v>
      </c>
      <c r="P923" s="132" t="s">
        <v>245</v>
      </c>
      <c r="Q923" s="133">
        <v>1053</v>
      </c>
      <c r="R923" s="132" t="s">
        <v>279</v>
      </c>
      <c r="S923" s="132" t="s">
        <v>11</v>
      </c>
      <c r="T923" s="134">
        <v>42548</v>
      </c>
      <c r="U923" s="172">
        <f t="shared" si="52"/>
        <v>2016</v>
      </c>
      <c r="V923" s="172">
        <f t="shared" si="53"/>
        <v>6</v>
      </c>
      <c r="W923" s="44" t="s">
        <v>280</v>
      </c>
      <c r="X923" t="s">
        <v>892</v>
      </c>
      <c r="Y923">
        <v>1</v>
      </c>
      <c r="AA923" s="13">
        <f t="shared" si="51"/>
        <v>120000</v>
      </c>
      <c r="AE923" s="43"/>
      <c r="AL923" s="87" t="s">
        <v>819</v>
      </c>
      <c r="AM923" s="86">
        <v>468492</v>
      </c>
    </row>
    <row r="924" spans="13:39" hidden="1">
      <c r="M924" s="131">
        <v>120000</v>
      </c>
      <c r="N924" s="223">
        <v>544643</v>
      </c>
      <c r="O924" s="132" t="s">
        <v>244</v>
      </c>
      <c r="P924" s="132" t="s">
        <v>245</v>
      </c>
      <c r="Q924" s="133">
        <v>1055</v>
      </c>
      <c r="R924" s="132" t="s">
        <v>279</v>
      </c>
      <c r="S924" s="132" t="s">
        <v>11</v>
      </c>
      <c r="T924" s="134">
        <v>42548</v>
      </c>
      <c r="U924" s="172">
        <f t="shared" si="52"/>
        <v>2016</v>
      </c>
      <c r="V924" s="172">
        <f t="shared" si="53"/>
        <v>6</v>
      </c>
      <c r="W924" s="44" t="s">
        <v>280</v>
      </c>
      <c r="X924" t="s">
        <v>892</v>
      </c>
      <c r="Y924">
        <v>1</v>
      </c>
      <c r="AA924" s="13">
        <f t="shared" si="51"/>
        <v>120000</v>
      </c>
      <c r="AE924" s="43"/>
      <c r="AL924" s="87" t="s">
        <v>819</v>
      </c>
      <c r="AM924" s="86">
        <v>469061</v>
      </c>
    </row>
    <row r="925" spans="13:39" hidden="1">
      <c r="M925" s="131">
        <v>120000</v>
      </c>
      <c r="N925" s="223">
        <v>560590</v>
      </c>
      <c r="O925" s="132" t="s">
        <v>244</v>
      </c>
      <c r="P925" s="132" t="s">
        <v>245</v>
      </c>
      <c r="Q925" s="133">
        <v>44</v>
      </c>
      <c r="R925" s="132" t="s">
        <v>279</v>
      </c>
      <c r="S925" s="132" t="s">
        <v>11</v>
      </c>
      <c r="T925" s="134">
        <v>42548</v>
      </c>
      <c r="U925" s="172">
        <f t="shared" si="52"/>
        <v>2016</v>
      </c>
      <c r="V925" s="172">
        <f t="shared" si="53"/>
        <v>6</v>
      </c>
      <c r="W925" s="44" t="s">
        <v>280</v>
      </c>
      <c r="X925" t="s">
        <v>892</v>
      </c>
      <c r="Y925">
        <v>1</v>
      </c>
      <c r="AA925" s="13">
        <f t="shared" si="51"/>
        <v>120000</v>
      </c>
      <c r="AE925" s="43"/>
      <c r="AL925" s="87" t="s">
        <v>819</v>
      </c>
      <c r="AM925" s="86">
        <v>4691792</v>
      </c>
    </row>
    <row r="926" spans="13:39" hidden="1">
      <c r="M926" s="131">
        <v>120000</v>
      </c>
      <c r="N926" s="223">
        <v>564576</v>
      </c>
      <c r="O926" s="132" t="s">
        <v>244</v>
      </c>
      <c r="P926" s="132" t="s">
        <v>245</v>
      </c>
      <c r="Q926" s="133">
        <v>1067</v>
      </c>
      <c r="R926" s="132" t="s">
        <v>279</v>
      </c>
      <c r="S926" s="132" t="s">
        <v>11</v>
      </c>
      <c r="T926" s="134">
        <v>42548</v>
      </c>
      <c r="U926" s="172">
        <f t="shared" si="52"/>
        <v>2016</v>
      </c>
      <c r="V926" s="172">
        <f t="shared" si="53"/>
        <v>6</v>
      </c>
      <c r="W926" s="44" t="s">
        <v>280</v>
      </c>
      <c r="X926" t="s">
        <v>892</v>
      </c>
      <c r="Y926">
        <v>1</v>
      </c>
      <c r="AA926" s="13">
        <f t="shared" si="51"/>
        <v>120000</v>
      </c>
      <c r="AE926" s="43"/>
      <c r="AL926" s="87" t="s">
        <v>819</v>
      </c>
      <c r="AM926" s="86">
        <v>4698611</v>
      </c>
    </row>
    <row r="927" spans="13:39" hidden="1">
      <c r="M927" s="131">
        <v>120000</v>
      </c>
      <c r="N927" s="223">
        <v>565715</v>
      </c>
      <c r="O927" s="132" t="s">
        <v>244</v>
      </c>
      <c r="P927" s="132" t="s">
        <v>245</v>
      </c>
      <c r="Q927" s="133">
        <v>329</v>
      </c>
      <c r="R927" s="132" t="s">
        <v>279</v>
      </c>
      <c r="S927" s="132" t="s">
        <v>11</v>
      </c>
      <c r="T927" s="134">
        <v>42548</v>
      </c>
      <c r="U927" s="172">
        <f t="shared" si="52"/>
        <v>2016</v>
      </c>
      <c r="V927" s="172">
        <f t="shared" si="53"/>
        <v>6</v>
      </c>
      <c r="W927" s="44" t="s">
        <v>280</v>
      </c>
      <c r="X927" t="s">
        <v>892</v>
      </c>
      <c r="Y927">
        <v>1</v>
      </c>
      <c r="AA927" s="13">
        <f t="shared" si="51"/>
        <v>120000</v>
      </c>
      <c r="AE927" s="43"/>
      <c r="AL927" s="87" t="s">
        <v>819</v>
      </c>
      <c r="AM927" s="86">
        <v>470039</v>
      </c>
    </row>
    <row r="928" spans="13:39" hidden="1">
      <c r="M928" s="131">
        <v>120186</v>
      </c>
      <c r="N928" s="223">
        <v>479456</v>
      </c>
      <c r="O928" s="132" t="s">
        <v>244</v>
      </c>
      <c r="P928" s="132" t="s">
        <v>245</v>
      </c>
      <c r="Q928" s="133">
        <v>260</v>
      </c>
      <c r="R928" s="132" t="s">
        <v>279</v>
      </c>
      <c r="S928" s="132" t="s">
        <v>11</v>
      </c>
      <c r="T928" s="134">
        <v>42246</v>
      </c>
      <c r="U928" s="172">
        <f t="shared" si="52"/>
        <v>2015</v>
      </c>
      <c r="V928" s="172">
        <f t="shared" si="53"/>
        <v>8</v>
      </c>
      <c r="W928" s="44" t="s">
        <v>291</v>
      </c>
      <c r="X928" t="s">
        <v>892</v>
      </c>
      <c r="Y928">
        <v>1</v>
      </c>
      <c r="AA928" s="13">
        <f t="shared" si="51"/>
        <v>120186</v>
      </c>
      <c r="AE928" s="43"/>
      <c r="AL928" s="87" t="s">
        <v>819</v>
      </c>
      <c r="AM928" s="86">
        <v>470201</v>
      </c>
    </row>
    <row r="929" spans="13:39" hidden="1">
      <c r="M929" s="131">
        <v>120300</v>
      </c>
      <c r="N929" s="223">
        <v>560590</v>
      </c>
      <c r="O929" s="132" t="s">
        <v>244</v>
      </c>
      <c r="P929" s="132" t="s">
        <v>245</v>
      </c>
      <c r="Q929" s="133">
        <v>46</v>
      </c>
      <c r="R929" s="132" t="s">
        <v>279</v>
      </c>
      <c r="S929" s="132" t="s">
        <v>11</v>
      </c>
      <c r="T929" s="134">
        <v>42548</v>
      </c>
      <c r="U929" s="172">
        <f t="shared" si="52"/>
        <v>2016</v>
      </c>
      <c r="V929" s="172">
        <f t="shared" si="53"/>
        <v>6</v>
      </c>
      <c r="W929" s="44" t="s">
        <v>280</v>
      </c>
      <c r="X929" t="s">
        <v>892</v>
      </c>
      <c r="Y929">
        <v>1</v>
      </c>
      <c r="AA929" s="13">
        <f t="shared" si="51"/>
        <v>120300</v>
      </c>
      <c r="AE929" s="43"/>
      <c r="AL929" s="87" t="s">
        <v>819</v>
      </c>
      <c r="AM929" s="86">
        <v>470201</v>
      </c>
    </row>
    <row r="930" spans="13:39" hidden="1">
      <c r="M930" s="131">
        <v>120502</v>
      </c>
      <c r="N930" s="223">
        <v>578246</v>
      </c>
      <c r="O930" s="132" t="s">
        <v>244</v>
      </c>
      <c r="P930" s="132" t="s">
        <v>245</v>
      </c>
      <c r="Q930" s="133">
        <v>1490</v>
      </c>
      <c r="R930" s="132" t="s">
        <v>279</v>
      </c>
      <c r="S930" s="132" t="s">
        <v>11</v>
      </c>
      <c r="T930" s="134">
        <v>42548</v>
      </c>
      <c r="U930" s="172">
        <f t="shared" si="52"/>
        <v>2016</v>
      </c>
      <c r="V930" s="172">
        <f t="shared" si="53"/>
        <v>6</v>
      </c>
      <c r="W930" s="44" t="s">
        <v>280</v>
      </c>
      <c r="X930" t="s">
        <v>892</v>
      </c>
      <c r="Y930">
        <v>1</v>
      </c>
      <c r="AA930" s="13">
        <f t="shared" si="51"/>
        <v>120502</v>
      </c>
      <c r="AE930" s="43"/>
      <c r="AL930" s="87" t="s">
        <v>819</v>
      </c>
      <c r="AM930" s="86">
        <v>470201</v>
      </c>
    </row>
    <row r="931" spans="13:39" hidden="1">
      <c r="M931" s="131">
        <v>120750</v>
      </c>
      <c r="N931" s="223">
        <v>534962</v>
      </c>
      <c r="O931" s="132" t="s">
        <v>244</v>
      </c>
      <c r="P931" s="132" t="s">
        <v>245</v>
      </c>
      <c r="Q931" s="133">
        <v>1458</v>
      </c>
      <c r="R931" s="132" t="s">
        <v>279</v>
      </c>
      <c r="S931" s="132" t="s">
        <v>11</v>
      </c>
      <c r="T931" s="134">
        <v>42548</v>
      </c>
      <c r="U931" s="172">
        <f t="shared" si="52"/>
        <v>2016</v>
      </c>
      <c r="V931" s="172">
        <f t="shared" si="53"/>
        <v>6</v>
      </c>
      <c r="W931" s="44" t="s">
        <v>280</v>
      </c>
      <c r="X931" t="s">
        <v>892</v>
      </c>
      <c r="Y931">
        <v>1</v>
      </c>
      <c r="AA931" s="13">
        <f t="shared" si="51"/>
        <v>120750</v>
      </c>
      <c r="AE931" s="43"/>
      <c r="AL931" s="87" t="s">
        <v>819</v>
      </c>
      <c r="AM931" s="86">
        <v>470201</v>
      </c>
    </row>
    <row r="932" spans="13:39" hidden="1">
      <c r="M932" s="131">
        <v>121000</v>
      </c>
      <c r="N932" s="223">
        <v>542364</v>
      </c>
      <c r="O932" s="132" t="s">
        <v>244</v>
      </c>
      <c r="P932" s="132" t="s">
        <v>245</v>
      </c>
      <c r="Q932" s="133">
        <v>1042</v>
      </c>
      <c r="R932" s="132" t="s">
        <v>279</v>
      </c>
      <c r="S932" s="132" t="s">
        <v>11</v>
      </c>
      <c r="T932" s="134">
        <v>42548</v>
      </c>
      <c r="U932" s="172">
        <f t="shared" si="52"/>
        <v>2016</v>
      </c>
      <c r="V932" s="172">
        <f t="shared" si="53"/>
        <v>6</v>
      </c>
      <c r="W932" s="44" t="s">
        <v>280</v>
      </c>
      <c r="X932" t="s">
        <v>892</v>
      </c>
      <c r="Y932">
        <v>1</v>
      </c>
      <c r="AA932" s="13">
        <f t="shared" si="51"/>
        <v>121000</v>
      </c>
      <c r="AE932" s="43"/>
      <c r="AL932" s="87" t="s">
        <v>819</v>
      </c>
      <c r="AM932" s="86">
        <v>470201</v>
      </c>
    </row>
    <row r="933" spans="13:39" hidden="1">
      <c r="M933" s="131">
        <v>121000</v>
      </c>
      <c r="N933" s="223">
        <v>594192</v>
      </c>
      <c r="O933" s="132" t="s">
        <v>244</v>
      </c>
      <c r="P933" s="132" t="s">
        <v>245</v>
      </c>
      <c r="Q933" s="133">
        <v>1228</v>
      </c>
      <c r="R933" s="132" t="s">
        <v>279</v>
      </c>
      <c r="S933" s="132" t="s">
        <v>11</v>
      </c>
      <c r="T933" s="134">
        <v>42548</v>
      </c>
      <c r="U933" s="172">
        <f t="shared" si="52"/>
        <v>2016</v>
      </c>
      <c r="V933" s="172">
        <f t="shared" si="53"/>
        <v>6</v>
      </c>
      <c r="W933" s="44" t="s">
        <v>280</v>
      </c>
      <c r="X933" t="s">
        <v>892</v>
      </c>
      <c r="Y933">
        <v>1</v>
      </c>
      <c r="AA933" s="13">
        <f t="shared" si="51"/>
        <v>121000</v>
      </c>
      <c r="AE933" s="43"/>
      <c r="AL933" s="87" t="s">
        <v>819</v>
      </c>
      <c r="AM933" s="86">
        <v>470201</v>
      </c>
    </row>
    <row r="934" spans="13:39" hidden="1">
      <c r="M934" s="131">
        <v>121001</v>
      </c>
      <c r="N934" s="223">
        <v>483916</v>
      </c>
      <c r="O934" s="132" t="s">
        <v>244</v>
      </c>
      <c r="P934" s="132" t="s">
        <v>245</v>
      </c>
      <c r="Q934" s="133">
        <v>441</v>
      </c>
      <c r="R934" s="132" t="s">
        <v>279</v>
      </c>
      <c r="S934" s="132" t="s">
        <v>11</v>
      </c>
      <c r="T934" s="134">
        <v>42246</v>
      </c>
      <c r="U934" s="172">
        <f t="shared" si="52"/>
        <v>2015</v>
      </c>
      <c r="V934" s="172">
        <f t="shared" si="53"/>
        <v>8</v>
      </c>
      <c r="W934" s="44" t="s">
        <v>291</v>
      </c>
      <c r="X934" t="s">
        <v>892</v>
      </c>
      <c r="Y934">
        <v>1</v>
      </c>
      <c r="AA934" s="13">
        <f t="shared" si="51"/>
        <v>121001</v>
      </c>
      <c r="AE934" s="43"/>
      <c r="AL934" s="87" t="s">
        <v>819</v>
      </c>
      <c r="AM934" s="86">
        <v>470201</v>
      </c>
    </row>
    <row r="935" spans="13:39" hidden="1">
      <c r="M935" s="131">
        <v>121101</v>
      </c>
      <c r="N935" s="223">
        <v>486394</v>
      </c>
      <c r="O935" s="132" t="s">
        <v>244</v>
      </c>
      <c r="P935" s="132" t="s">
        <v>245</v>
      </c>
      <c r="Q935" s="133">
        <v>286</v>
      </c>
      <c r="R935" s="132" t="s">
        <v>279</v>
      </c>
      <c r="S935" s="132" t="s">
        <v>11</v>
      </c>
      <c r="T935" s="134">
        <v>42246</v>
      </c>
      <c r="U935" s="172">
        <f t="shared" si="52"/>
        <v>2015</v>
      </c>
      <c r="V935" s="172">
        <f t="shared" si="53"/>
        <v>8</v>
      </c>
      <c r="W935" s="44" t="s">
        <v>291</v>
      </c>
      <c r="X935" t="s">
        <v>892</v>
      </c>
      <c r="Y935">
        <v>1</v>
      </c>
      <c r="AA935" s="13">
        <f t="shared" si="51"/>
        <v>121101</v>
      </c>
      <c r="AE935" s="43"/>
      <c r="AL935" s="87" t="s">
        <v>819</v>
      </c>
      <c r="AM935" s="86">
        <v>470201</v>
      </c>
    </row>
    <row r="936" spans="13:39" hidden="1">
      <c r="M936" s="131">
        <v>121121</v>
      </c>
      <c r="N936" s="223">
        <v>492342</v>
      </c>
      <c r="O936" s="132" t="s">
        <v>244</v>
      </c>
      <c r="P936" s="132" t="s">
        <v>245</v>
      </c>
      <c r="Q936" s="133">
        <v>53</v>
      </c>
      <c r="R936" s="132" t="s">
        <v>279</v>
      </c>
      <c r="S936" s="132" t="s">
        <v>11</v>
      </c>
      <c r="T936" s="134">
        <v>42246</v>
      </c>
      <c r="U936" s="172">
        <f t="shared" si="52"/>
        <v>2015</v>
      </c>
      <c r="V936" s="172">
        <f t="shared" si="53"/>
        <v>8</v>
      </c>
      <c r="W936" s="44" t="s">
        <v>291</v>
      </c>
      <c r="X936" t="s">
        <v>892</v>
      </c>
      <c r="Y936">
        <v>1</v>
      </c>
      <c r="AA936" s="13">
        <f t="shared" si="51"/>
        <v>121121</v>
      </c>
      <c r="AE936" s="43"/>
      <c r="AL936" s="87" t="s">
        <v>819</v>
      </c>
      <c r="AM936" s="86">
        <v>470201</v>
      </c>
    </row>
    <row r="937" spans="13:39" hidden="1">
      <c r="M937" s="131">
        <v>121140</v>
      </c>
      <c r="N937" s="223">
        <v>480447</v>
      </c>
      <c r="O937" s="132" t="s">
        <v>244</v>
      </c>
      <c r="P937" s="132" t="s">
        <v>245</v>
      </c>
      <c r="Q937" s="133">
        <v>189</v>
      </c>
      <c r="R937" s="132" t="s">
        <v>279</v>
      </c>
      <c r="S937" s="132" t="s">
        <v>11</v>
      </c>
      <c r="T937" s="134">
        <v>42246</v>
      </c>
      <c r="U937" s="172">
        <f t="shared" si="52"/>
        <v>2015</v>
      </c>
      <c r="V937" s="172">
        <f t="shared" si="53"/>
        <v>8</v>
      </c>
      <c r="W937" s="44" t="s">
        <v>291</v>
      </c>
      <c r="X937" t="s">
        <v>892</v>
      </c>
      <c r="Y937">
        <v>1</v>
      </c>
      <c r="AA937" s="13">
        <f t="shared" si="51"/>
        <v>121140</v>
      </c>
      <c r="AE937" s="43"/>
      <c r="AL937" s="87" t="s">
        <v>819</v>
      </c>
      <c r="AM937" s="86">
        <v>470201</v>
      </c>
    </row>
    <row r="938" spans="13:39" hidden="1">
      <c r="M938" s="131">
        <v>121317</v>
      </c>
      <c r="N938" s="223">
        <v>484908</v>
      </c>
      <c r="O938" s="132" t="s">
        <v>244</v>
      </c>
      <c r="P938" s="132" t="s">
        <v>245</v>
      </c>
      <c r="Q938" s="133">
        <v>167</v>
      </c>
      <c r="R938" s="132" t="s">
        <v>279</v>
      </c>
      <c r="S938" s="132" t="s">
        <v>11</v>
      </c>
      <c r="T938" s="134">
        <v>42246</v>
      </c>
      <c r="U938" s="172">
        <f t="shared" si="52"/>
        <v>2015</v>
      </c>
      <c r="V938" s="172">
        <f t="shared" si="53"/>
        <v>8</v>
      </c>
      <c r="W938" s="44" t="s">
        <v>291</v>
      </c>
      <c r="X938" t="s">
        <v>892</v>
      </c>
      <c r="Y938">
        <v>1</v>
      </c>
      <c r="AA938" s="13">
        <f t="shared" si="51"/>
        <v>121317</v>
      </c>
      <c r="AE938" s="43"/>
      <c r="AL938" s="87" t="s">
        <v>819</v>
      </c>
      <c r="AM938" s="86">
        <v>470201</v>
      </c>
    </row>
    <row r="939" spans="13:39" hidden="1">
      <c r="M939" s="131">
        <v>121450</v>
      </c>
      <c r="N939" s="223">
        <v>564576</v>
      </c>
      <c r="O939" s="132" t="s">
        <v>244</v>
      </c>
      <c r="P939" s="132" t="s">
        <v>245</v>
      </c>
      <c r="Q939" s="133">
        <v>1003</v>
      </c>
      <c r="R939" s="132" t="s">
        <v>279</v>
      </c>
      <c r="S939" s="132" t="s">
        <v>11</v>
      </c>
      <c r="T939" s="134">
        <v>42548</v>
      </c>
      <c r="U939" s="172">
        <f t="shared" si="52"/>
        <v>2016</v>
      </c>
      <c r="V939" s="172">
        <f t="shared" si="53"/>
        <v>6</v>
      </c>
      <c r="W939" s="44" t="s">
        <v>280</v>
      </c>
      <c r="X939" t="s">
        <v>892</v>
      </c>
      <c r="Y939">
        <v>1</v>
      </c>
      <c r="AA939" s="13">
        <f t="shared" si="51"/>
        <v>121450</v>
      </c>
      <c r="AE939" s="43"/>
      <c r="AL939" s="87" t="s">
        <v>819</v>
      </c>
      <c r="AM939" s="86">
        <v>470201</v>
      </c>
    </row>
    <row r="940" spans="13:39" hidden="1">
      <c r="M940" s="131">
        <v>121479</v>
      </c>
      <c r="N940" s="223">
        <v>569435</v>
      </c>
      <c r="O940" s="132" t="s">
        <v>244</v>
      </c>
      <c r="P940" s="132" t="s">
        <v>245</v>
      </c>
      <c r="Q940" s="133">
        <v>1305</v>
      </c>
      <c r="R940" s="132" t="s">
        <v>279</v>
      </c>
      <c r="S940" s="132" t="s">
        <v>11</v>
      </c>
      <c r="T940" s="134">
        <v>42548</v>
      </c>
      <c r="U940" s="172">
        <f t="shared" si="52"/>
        <v>2016</v>
      </c>
      <c r="V940" s="172">
        <f t="shared" si="53"/>
        <v>6</v>
      </c>
      <c r="W940" s="44" t="s">
        <v>280</v>
      </c>
      <c r="X940" t="s">
        <v>892</v>
      </c>
      <c r="Y940">
        <v>1</v>
      </c>
      <c r="AA940" s="13">
        <f t="shared" si="51"/>
        <v>121479</v>
      </c>
      <c r="AE940" s="43"/>
      <c r="AL940" s="87" t="s">
        <v>819</v>
      </c>
      <c r="AM940" s="86">
        <v>470201</v>
      </c>
    </row>
    <row r="941" spans="13:39" hidden="1">
      <c r="M941" s="131">
        <v>121500</v>
      </c>
      <c r="N941" s="223">
        <v>485899</v>
      </c>
      <c r="O941" s="132" t="s">
        <v>244</v>
      </c>
      <c r="P941" s="132" t="s">
        <v>245</v>
      </c>
      <c r="Q941" s="133">
        <v>306</v>
      </c>
      <c r="R941" s="132" t="s">
        <v>279</v>
      </c>
      <c r="S941" s="132" t="s">
        <v>11</v>
      </c>
      <c r="T941" s="134">
        <v>42246</v>
      </c>
      <c r="U941" s="172">
        <f t="shared" si="52"/>
        <v>2015</v>
      </c>
      <c r="V941" s="172">
        <f t="shared" si="53"/>
        <v>8</v>
      </c>
      <c r="W941" s="44" t="s">
        <v>291</v>
      </c>
      <c r="X941" t="s">
        <v>892</v>
      </c>
      <c r="Y941">
        <v>1</v>
      </c>
      <c r="AA941" s="13">
        <f t="shared" si="51"/>
        <v>121500</v>
      </c>
      <c r="AE941" s="43"/>
      <c r="AL941" s="87" t="s">
        <v>819</v>
      </c>
      <c r="AM941" s="86">
        <v>470201</v>
      </c>
    </row>
    <row r="942" spans="13:39" hidden="1">
      <c r="M942" s="131">
        <v>121600</v>
      </c>
      <c r="N942" s="223">
        <v>458241</v>
      </c>
      <c r="O942" s="132" t="s">
        <v>244</v>
      </c>
      <c r="P942" s="132" t="s">
        <v>245</v>
      </c>
      <c r="Q942" s="133">
        <v>1151</v>
      </c>
      <c r="R942" s="132" t="s">
        <v>279</v>
      </c>
      <c r="S942" s="132" t="s">
        <v>11</v>
      </c>
      <c r="T942" s="134">
        <v>42548</v>
      </c>
      <c r="U942" s="172">
        <f t="shared" si="52"/>
        <v>2016</v>
      </c>
      <c r="V942" s="172">
        <f t="shared" si="53"/>
        <v>6</v>
      </c>
      <c r="W942" s="44" t="s">
        <v>280</v>
      </c>
      <c r="X942" t="s">
        <v>892</v>
      </c>
      <c r="Y942">
        <v>1</v>
      </c>
      <c r="AA942" s="13">
        <f t="shared" si="51"/>
        <v>121600</v>
      </c>
      <c r="AE942" s="43"/>
      <c r="AL942" s="87" t="s">
        <v>819</v>
      </c>
      <c r="AM942" s="86">
        <v>470201</v>
      </c>
    </row>
    <row r="943" spans="13:39" hidden="1">
      <c r="M943" s="131">
        <v>121619</v>
      </c>
      <c r="N943" s="223">
        <v>560021</v>
      </c>
      <c r="O943" s="132" t="s">
        <v>244</v>
      </c>
      <c r="P943" s="132" t="s">
        <v>245</v>
      </c>
      <c r="Q943" s="133">
        <v>45</v>
      </c>
      <c r="R943" s="132" t="s">
        <v>279</v>
      </c>
      <c r="S943" s="132" t="s">
        <v>11</v>
      </c>
      <c r="T943" s="134">
        <v>42548</v>
      </c>
      <c r="U943" s="172">
        <f t="shared" si="52"/>
        <v>2016</v>
      </c>
      <c r="V943" s="172">
        <f t="shared" si="53"/>
        <v>6</v>
      </c>
      <c r="W943" s="44" t="s">
        <v>280</v>
      </c>
      <c r="X943" t="s">
        <v>892</v>
      </c>
      <c r="Y943">
        <v>1</v>
      </c>
      <c r="AA943" s="13">
        <f t="shared" si="51"/>
        <v>121619</v>
      </c>
      <c r="AE943" s="43"/>
      <c r="AL943" s="87" t="s">
        <v>819</v>
      </c>
      <c r="AM943" s="86">
        <v>470201</v>
      </c>
    </row>
    <row r="944" spans="13:39" hidden="1">
      <c r="M944" s="131">
        <v>121801</v>
      </c>
      <c r="N944" s="223">
        <v>493333</v>
      </c>
      <c r="O944" s="132" t="s">
        <v>244</v>
      </c>
      <c r="P944" s="132" t="s">
        <v>245</v>
      </c>
      <c r="Q944" s="133">
        <v>28</v>
      </c>
      <c r="R944" s="132" t="s">
        <v>279</v>
      </c>
      <c r="S944" s="132" t="s">
        <v>11</v>
      </c>
      <c r="T944" s="134">
        <v>42246</v>
      </c>
      <c r="U944" s="172">
        <f t="shared" si="52"/>
        <v>2015</v>
      </c>
      <c r="V944" s="172">
        <f t="shared" si="53"/>
        <v>8</v>
      </c>
      <c r="W944" s="44" t="s">
        <v>291</v>
      </c>
      <c r="X944" t="s">
        <v>892</v>
      </c>
      <c r="Y944">
        <v>1</v>
      </c>
      <c r="AA944" s="13">
        <f t="shared" si="51"/>
        <v>121801</v>
      </c>
      <c r="AE944" s="43"/>
      <c r="AL944" s="87" t="s">
        <v>819</v>
      </c>
      <c r="AM944" s="86">
        <v>470201</v>
      </c>
    </row>
    <row r="945" spans="13:39" hidden="1">
      <c r="M945" s="131">
        <v>122000</v>
      </c>
      <c r="N945" s="223">
        <v>557173</v>
      </c>
      <c r="O945" s="132" t="s">
        <v>244</v>
      </c>
      <c r="P945" s="132" t="s">
        <v>245</v>
      </c>
      <c r="Q945" s="133">
        <v>442</v>
      </c>
      <c r="R945" s="132" t="s">
        <v>279</v>
      </c>
      <c r="S945" s="132" t="s">
        <v>11</v>
      </c>
      <c r="T945" s="134">
        <v>42548</v>
      </c>
      <c r="U945" s="172">
        <f t="shared" si="52"/>
        <v>2016</v>
      </c>
      <c r="V945" s="172">
        <f t="shared" si="53"/>
        <v>6</v>
      </c>
      <c r="W945" s="44" t="s">
        <v>280</v>
      </c>
      <c r="X945" t="s">
        <v>892</v>
      </c>
      <c r="Y945">
        <v>1</v>
      </c>
      <c r="AA945" s="13">
        <f t="shared" si="51"/>
        <v>122000</v>
      </c>
      <c r="AE945" s="43"/>
      <c r="AL945" s="87" t="s">
        <v>819</v>
      </c>
      <c r="AM945" s="86">
        <v>4704711</v>
      </c>
    </row>
    <row r="946" spans="13:39" hidden="1">
      <c r="M946" s="131">
        <v>122284</v>
      </c>
      <c r="N946" s="223">
        <v>507705</v>
      </c>
      <c r="O946" s="132" t="s">
        <v>244</v>
      </c>
      <c r="P946" s="132" t="s">
        <v>245</v>
      </c>
      <c r="Q946" s="133">
        <v>294</v>
      </c>
      <c r="R946" s="132" t="s">
        <v>279</v>
      </c>
      <c r="S946" s="132" t="s">
        <v>11</v>
      </c>
      <c r="T946" s="134">
        <v>42246</v>
      </c>
      <c r="U946" s="172">
        <f t="shared" si="52"/>
        <v>2015</v>
      </c>
      <c r="V946" s="172">
        <f t="shared" si="53"/>
        <v>8</v>
      </c>
      <c r="W946" s="44" t="s">
        <v>291</v>
      </c>
      <c r="X946" t="s">
        <v>892</v>
      </c>
      <c r="Y946">
        <v>1</v>
      </c>
      <c r="AA946" s="13">
        <f t="shared" si="51"/>
        <v>122284</v>
      </c>
      <c r="AE946" s="43"/>
      <c r="AL946" s="87" t="s">
        <v>819</v>
      </c>
      <c r="AM946" s="86">
        <v>471340</v>
      </c>
    </row>
    <row r="947" spans="13:39" hidden="1">
      <c r="M947" s="131">
        <v>122825</v>
      </c>
      <c r="N947" s="223">
        <v>477035</v>
      </c>
      <c r="O947" s="132" t="s">
        <v>244</v>
      </c>
      <c r="P947" s="132" t="s">
        <v>245</v>
      </c>
      <c r="Q947" s="133">
        <v>1534</v>
      </c>
      <c r="R947" s="132" t="s">
        <v>279</v>
      </c>
      <c r="S947" s="132" t="s">
        <v>11</v>
      </c>
      <c r="T947" s="134">
        <v>42548</v>
      </c>
      <c r="U947" s="172">
        <f t="shared" si="52"/>
        <v>2016</v>
      </c>
      <c r="V947" s="172">
        <f t="shared" si="53"/>
        <v>6</v>
      </c>
      <c r="W947" s="44" t="s">
        <v>280</v>
      </c>
      <c r="X947" t="s">
        <v>892</v>
      </c>
      <c r="Y947">
        <v>1</v>
      </c>
      <c r="AA947" s="13">
        <f t="shared" si="51"/>
        <v>122825</v>
      </c>
      <c r="AE947" s="43"/>
      <c r="AL947" s="87" t="s">
        <v>819</v>
      </c>
      <c r="AM947" s="86">
        <v>471909</v>
      </c>
    </row>
    <row r="948" spans="13:39" hidden="1">
      <c r="M948" s="131">
        <v>123123</v>
      </c>
      <c r="N948" s="223">
        <v>481934</v>
      </c>
      <c r="O948" s="132" t="s">
        <v>244</v>
      </c>
      <c r="P948" s="132" t="s">
        <v>245</v>
      </c>
      <c r="Q948" s="133">
        <v>319</v>
      </c>
      <c r="R948" s="132" t="s">
        <v>279</v>
      </c>
      <c r="S948" s="132" t="s">
        <v>11</v>
      </c>
      <c r="T948" s="134">
        <v>42246</v>
      </c>
      <c r="U948" s="172">
        <f t="shared" si="52"/>
        <v>2015</v>
      </c>
      <c r="V948" s="172">
        <f t="shared" si="53"/>
        <v>8</v>
      </c>
      <c r="W948" s="44" t="s">
        <v>291</v>
      </c>
      <c r="X948" t="s">
        <v>892</v>
      </c>
      <c r="Y948">
        <v>1</v>
      </c>
      <c r="AA948" s="13">
        <f t="shared" si="51"/>
        <v>123123</v>
      </c>
      <c r="AE948" s="43"/>
      <c r="AL948" s="87" t="s">
        <v>819</v>
      </c>
      <c r="AM948" s="86">
        <v>472261</v>
      </c>
    </row>
    <row r="949" spans="13:39" hidden="1">
      <c r="M949" s="131">
        <v>123456</v>
      </c>
      <c r="N949" s="223">
        <v>569435</v>
      </c>
      <c r="O949" s="132" t="s">
        <v>244</v>
      </c>
      <c r="P949" s="132" t="s">
        <v>245</v>
      </c>
      <c r="Q949" s="133">
        <v>1304</v>
      </c>
      <c r="R949" s="132" t="s">
        <v>279</v>
      </c>
      <c r="S949" s="132" t="s">
        <v>11</v>
      </c>
      <c r="T949" s="134">
        <v>42548</v>
      </c>
      <c r="U949" s="172">
        <f t="shared" si="52"/>
        <v>2016</v>
      </c>
      <c r="V949" s="172">
        <f t="shared" si="53"/>
        <v>6</v>
      </c>
      <c r="W949" s="44" t="s">
        <v>280</v>
      </c>
      <c r="X949" t="s">
        <v>892</v>
      </c>
      <c r="Y949">
        <v>1</v>
      </c>
      <c r="AA949" s="13">
        <f t="shared" si="51"/>
        <v>123456</v>
      </c>
      <c r="AE949" s="43"/>
      <c r="AL949" s="87" t="s">
        <v>819</v>
      </c>
      <c r="AM949" s="86">
        <v>472822</v>
      </c>
    </row>
    <row r="950" spans="13:39" hidden="1">
      <c r="M950" s="131">
        <v>123500</v>
      </c>
      <c r="N950" s="223">
        <v>490359</v>
      </c>
      <c r="O950" s="132" t="s">
        <v>244</v>
      </c>
      <c r="P950" s="132" t="s">
        <v>245</v>
      </c>
      <c r="Q950" s="133">
        <v>455</v>
      </c>
      <c r="R950" s="132" t="s">
        <v>279</v>
      </c>
      <c r="S950" s="132" t="s">
        <v>11</v>
      </c>
      <c r="T950" s="134">
        <v>42246</v>
      </c>
      <c r="U950" s="172">
        <f t="shared" si="52"/>
        <v>2015</v>
      </c>
      <c r="V950" s="172">
        <f t="shared" si="53"/>
        <v>8</v>
      </c>
      <c r="W950" s="44" t="s">
        <v>291</v>
      </c>
      <c r="X950" t="s">
        <v>892</v>
      </c>
      <c r="Y950">
        <v>1</v>
      </c>
      <c r="AA950" s="13">
        <f t="shared" si="51"/>
        <v>123500</v>
      </c>
      <c r="AE950" s="43"/>
      <c r="AL950" s="87" t="s">
        <v>819</v>
      </c>
      <c r="AM950" s="86">
        <v>473048</v>
      </c>
    </row>
    <row r="951" spans="13:39" hidden="1">
      <c r="M951" s="131">
        <v>123550</v>
      </c>
      <c r="N951" s="223">
        <v>479456</v>
      </c>
      <c r="O951" s="132" t="s">
        <v>244</v>
      </c>
      <c r="P951" s="132" t="s">
        <v>245</v>
      </c>
      <c r="Q951" s="133">
        <v>255</v>
      </c>
      <c r="R951" s="132" t="s">
        <v>279</v>
      </c>
      <c r="S951" s="132" t="s">
        <v>11</v>
      </c>
      <c r="T951" s="134">
        <v>42246</v>
      </c>
      <c r="U951" s="172">
        <f t="shared" si="52"/>
        <v>2015</v>
      </c>
      <c r="V951" s="172">
        <f t="shared" si="53"/>
        <v>8</v>
      </c>
      <c r="W951" s="44" t="s">
        <v>291</v>
      </c>
      <c r="X951" t="s">
        <v>892</v>
      </c>
      <c r="Y951">
        <v>1</v>
      </c>
      <c r="AA951" s="13">
        <f t="shared" si="51"/>
        <v>123550</v>
      </c>
      <c r="AE951" s="43"/>
      <c r="AL951" s="87" t="s">
        <v>819</v>
      </c>
      <c r="AM951" s="86">
        <v>473508</v>
      </c>
    </row>
    <row r="952" spans="13:39" hidden="1">
      <c r="M952" s="131">
        <v>123818</v>
      </c>
      <c r="N952" s="223">
        <v>489368</v>
      </c>
      <c r="O952" s="132" t="s">
        <v>244</v>
      </c>
      <c r="P952" s="132" t="s">
        <v>245</v>
      </c>
      <c r="Q952" s="133">
        <v>200</v>
      </c>
      <c r="R952" s="132" t="s">
        <v>279</v>
      </c>
      <c r="S952" s="132" t="s">
        <v>11</v>
      </c>
      <c r="T952" s="134">
        <v>42246</v>
      </c>
      <c r="U952" s="172">
        <f t="shared" si="52"/>
        <v>2015</v>
      </c>
      <c r="V952" s="172">
        <f t="shared" si="53"/>
        <v>8</v>
      </c>
      <c r="W952" s="44" t="s">
        <v>291</v>
      </c>
      <c r="X952" t="s">
        <v>892</v>
      </c>
      <c r="Y952">
        <v>1</v>
      </c>
      <c r="AA952" s="13">
        <f t="shared" si="51"/>
        <v>123818</v>
      </c>
      <c r="AE952" s="43"/>
      <c r="AL952" s="87" t="s">
        <v>819</v>
      </c>
      <c r="AM952" s="86">
        <v>473618</v>
      </c>
    </row>
    <row r="953" spans="13:39" hidden="1">
      <c r="M953" s="131">
        <v>123875</v>
      </c>
      <c r="N953" s="223">
        <v>578246</v>
      </c>
      <c r="O953" s="132" t="s">
        <v>244</v>
      </c>
      <c r="P953" s="132" t="s">
        <v>245</v>
      </c>
      <c r="Q953" s="133">
        <v>1487</v>
      </c>
      <c r="R953" s="132" t="s">
        <v>279</v>
      </c>
      <c r="S953" s="132" t="s">
        <v>11</v>
      </c>
      <c r="T953" s="134">
        <v>42548</v>
      </c>
      <c r="U953" s="172">
        <f t="shared" si="52"/>
        <v>2016</v>
      </c>
      <c r="V953" s="172">
        <f t="shared" si="53"/>
        <v>6</v>
      </c>
      <c r="W953" s="44" t="s">
        <v>280</v>
      </c>
      <c r="X953" t="s">
        <v>892</v>
      </c>
      <c r="Y953">
        <v>1</v>
      </c>
      <c r="AA953" s="13">
        <f t="shared" si="51"/>
        <v>123875</v>
      </c>
      <c r="AE953" s="43"/>
      <c r="AL953" s="87" t="s">
        <v>819</v>
      </c>
      <c r="AM953" s="86">
        <v>473618</v>
      </c>
    </row>
    <row r="954" spans="13:39" hidden="1">
      <c r="M954" s="131">
        <v>124760</v>
      </c>
      <c r="N954" s="223">
        <v>488377</v>
      </c>
      <c r="O954" s="132" t="s">
        <v>244</v>
      </c>
      <c r="P954" s="132" t="s">
        <v>245</v>
      </c>
      <c r="Q954" s="133">
        <v>131</v>
      </c>
      <c r="R954" s="132" t="s">
        <v>279</v>
      </c>
      <c r="S954" s="132" t="s">
        <v>11</v>
      </c>
      <c r="T954" s="134">
        <v>42246</v>
      </c>
      <c r="U954" s="172">
        <f t="shared" si="52"/>
        <v>2015</v>
      </c>
      <c r="V954" s="172">
        <f t="shared" si="53"/>
        <v>8</v>
      </c>
      <c r="W954" s="44" t="s">
        <v>291</v>
      </c>
      <c r="X954" t="s">
        <v>892</v>
      </c>
      <c r="Y954">
        <v>1</v>
      </c>
      <c r="AA954" s="13">
        <f t="shared" si="51"/>
        <v>124760</v>
      </c>
      <c r="AE954" s="43"/>
      <c r="AL954" s="87" t="s">
        <v>819</v>
      </c>
      <c r="AM954" s="86">
        <v>474124</v>
      </c>
    </row>
    <row r="955" spans="13:39" hidden="1">
      <c r="M955" s="131">
        <v>124802</v>
      </c>
      <c r="N955" s="223">
        <v>544643</v>
      </c>
      <c r="O955" s="132" t="s">
        <v>244</v>
      </c>
      <c r="P955" s="132" t="s">
        <v>245</v>
      </c>
      <c r="Q955" s="133">
        <v>1435</v>
      </c>
      <c r="R955" s="132" t="s">
        <v>279</v>
      </c>
      <c r="S955" s="132" t="s">
        <v>11</v>
      </c>
      <c r="T955" s="134">
        <v>42548</v>
      </c>
      <c r="U955" s="172">
        <f t="shared" si="52"/>
        <v>2016</v>
      </c>
      <c r="V955" s="172">
        <f t="shared" si="53"/>
        <v>6</v>
      </c>
      <c r="W955" s="44" t="s">
        <v>280</v>
      </c>
      <c r="X955" t="s">
        <v>892</v>
      </c>
      <c r="Y955">
        <v>1</v>
      </c>
      <c r="AA955" s="13">
        <f t="shared" si="51"/>
        <v>124802</v>
      </c>
      <c r="AE955" s="43"/>
      <c r="AL955" s="87" t="s">
        <v>819</v>
      </c>
      <c r="AM955" s="86">
        <v>474500</v>
      </c>
    </row>
    <row r="956" spans="13:39" hidden="1">
      <c r="M956" s="131">
        <v>125000</v>
      </c>
      <c r="N956" s="223">
        <v>485899</v>
      </c>
      <c r="O956" s="132" t="s">
        <v>244</v>
      </c>
      <c r="P956" s="132" t="s">
        <v>245</v>
      </c>
      <c r="Q956" s="133">
        <v>379</v>
      </c>
      <c r="R956" s="132" t="s">
        <v>279</v>
      </c>
      <c r="S956" s="132" t="s">
        <v>11</v>
      </c>
      <c r="T956" s="134">
        <v>42246</v>
      </c>
      <c r="U956" s="172">
        <f t="shared" si="52"/>
        <v>2015</v>
      </c>
      <c r="V956" s="172">
        <f t="shared" si="53"/>
        <v>8</v>
      </c>
      <c r="W956" s="44" t="s">
        <v>291</v>
      </c>
      <c r="X956" t="s">
        <v>892</v>
      </c>
      <c r="Y956">
        <v>1</v>
      </c>
      <c r="AA956" s="13">
        <f t="shared" si="51"/>
        <v>125000</v>
      </c>
      <c r="AE956" s="43"/>
      <c r="AL956" s="87" t="s">
        <v>819</v>
      </c>
      <c r="AM956" s="86">
        <v>474500</v>
      </c>
    </row>
    <row r="957" spans="13:39" hidden="1">
      <c r="M957" s="131">
        <v>125000</v>
      </c>
      <c r="N957" s="223">
        <v>554324</v>
      </c>
      <c r="O957" s="132" t="s">
        <v>244</v>
      </c>
      <c r="P957" s="132" t="s">
        <v>245</v>
      </c>
      <c r="Q957" s="133">
        <v>252</v>
      </c>
      <c r="R957" s="132" t="s">
        <v>279</v>
      </c>
      <c r="S957" s="132" t="s">
        <v>11</v>
      </c>
      <c r="T957" s="134">
        <v>42548</v>
      </c>
      <c r="U957" s="172">
        <f t="shared" si="52"/>
        <v>2016</v>
      </c>
      <c r="V957" s="172">
        <f t="shared" si="53"/>
        <v>6</v>
      </c>
      <c r="W957" s="44" t="s">
        <v>280</v>
      </c>
      <c r="X957" t="s">
        <v>892</v>
      </c>
      <c r="Y957">
        <v>1</v>
      </c>
      <c r="AA957" s="13">
        <f t="shared" si="51"/>
        <v>125000</v>
      </c>
      <c r="AE957" s="43"/>
      <c r="AL957" s="87" t="s">
        <v>819</v>
      </c>
      <c r="AM957" s="86">
        <v>474500</v>
      </c>
    </row>
    <row r="958" spans="13:39" hidden="1">
      <c r="M958" s="131">
        <v>125000</v>
      </c>
      <c r="N958" s="223">
        <v>554324</v>
      </c>
      <c r="O958" s="132" t="s">
        <v>244</v>
      </c>
      <c r="P958" s="132" t="s">
        <v>245</v>
      </c>
      <c r="Q958" s="133">
        <v>264</v>
      </c>
      <c r="R958" s="132" t="s">
        <v>279</v>
      </c>
      <c r="S958" s="132" t="s">
        <v>11</v>
      </c>
      <c r="T958" s="134">
        <v>42548</v>
      </c>
      <c r="U958" s="172">
        <f t="shared" si="52"/>
        <v>2016</v>
      </c>
      <c r="V958" s="172">
        <f t="shared" si="53"/>
        <v>6</v>
      </c>
      <c r="W958" s="44" t="s">
        <v>280</v>
      </c>
      <c r="X958" t="s">
        <v>892</v>
      </c>
      <c r="Y958">
        <v>1</v>
      </c>
      <c r="AA958" s="13">
        <f t="shared" si="51"/>
        <v>125000</v>
      </c>
      <c r="AE958" s="43"/>
      <c r="AL958" s="87" t="s">
        <v>819</v>
      </c>
      <c r="AM958" s="86">
        <v>474500</v>
      </c>
    </row>
    <row r="959" spans="13:39" hidden="1">
      <c r="M959" s="131">
        <v>125000</v>
      </c>
      <c r="N959" s="223">
        <v>555464</v>
      </c>
      <c r="O959" s="132" t="s">
        <v>244</v>
      </c>
      <c r="P959" s="132" t="s">
        <v>245</v>
      </c>
      <c r="Q959" s="133">
        <v>245</v>
      </c>
      <c r="R959" s="132" t="s">
        <v>279</v>
      </c>
      <c r="S959" s="132" t="s">
        <v>11</v>
      </c>
      <c r="T959" s="134">
        <v>42548</v>
      </c>
      <c r="U959" s="172">
        <f t="shared" si="52"/>
        <v>2016</v>
      </c>
      <c r="V959" s="172">
        <f t="shared" si="53"/>
        <v>6</v>
      </c>
      <c r="W959" s="44" t="s">
        <v>280</v>
      </c>
      <c r="X959" t="s">
        <v>892</v>
      </c>
      <c r="Y959">
        <v>1</v>
      </c>
      <c r="AA959" s="13">
        <f t="shared" si="51"/>
        <v>125000</v>
      </c>
      <c r="AE959" s="43"/>
      <c r="AL959" s="87" t="s">
        <v>819</v>
      </c>
      <c r="AM959" s="86">
        <v>474500</v>
      </c>
    </row>
    <row r="960" spans="13:39" hidden="1">
      <c r="M960" s="131">
        <v>125000</v>
      </c>
      <c r="N960" s="223">
        <v>555464</v>
      </c>
      <c r="O960" s="132" t="s">
        <v>244</v>
      </c>
      <c r="P960" s="132" t="s">
        <v>245</v>
      </c>
      <c r="Q960" s="133">
        <v>253</v>
      </c>
      <c r="R960" s="132" t="s">
        <v>279</v>
      </c>
      <c r="S960" s="132" t="s">
        <v>11</v>
      </c>
      <c r="T960" s="134">
        <v>42548</v>
      </c>
      <c r="U960" s="172">
        <f t="shared" si="52"/>
        <v>2016</v>
      </c>
      <c r="V960" s="172">
        <f t="shared" si="53"/>
        <v>6</v>
      </c>
      <c r="W960" s="44" t="s">
        <v>280</v>
      </c>
      <c r="X960" t="s">
        <v>892</v>
      </c>
      <c r="Y960">
        <v>1</v>
      </c>
      <c r="AA960" s="13">
        <f t="shared" si="51"/>
        <v>125000</v>
      </c>
      <c r="AE960" s="43"/>
      <c r="AL960" s="87" t="s">
        <v>819</v>
      </c>
      <c r="AM960" s="86">
        <v>474500</v>
      </c>
    </row>
    <row r="961" spans="13:39" hidden="1">
      <c r="M961" s="131">
        <v>125000</v>
      </c>
      <c r="N961" s="223">
        <v>556034</v>
      </c>
      <c r="O961" s="132" t="s">
        <v>244</v>
      </c>
      <c r="P961" s="132" t="s">
        <v>245</v>
      </c>
      <c r="Q961" s="133">
        <v>1343</v>
      </c>
      <c r="R961" s="132" t="s">
        <v>279</v>
      </c>
      <c r="S961" s="132" t="s">
        <v>11</v>
      </c>
      <c r="T961" s="134">
        <v>42548</v>
      </c>
      <c r="U961" s="172">
        <f t="shared" si="52"/>
        <v>2016</v>
      </c>
      <c r="V961" s="172">
        <f t="shared" si="53"/>
        <v>6</v>
      </c>
      <c r="W961" s="44" t="s">
        <v>280</v>
      </c>
      <c r="X961" t="s">
        <v>892</v>
      </c>
      <c r="Y961">
        <v>1</v>
      </c>
      <c r="AA961" s="13">
        <f t="shared" si="51"/>
        <v>125000</v>
      </c>
      <c r="AE961" s="43"/>
      <c r="AL961" s="87" t="s">
        <v>819</v>
      </c>
      <c r="AM961" s="86">
        <v>474500</v>
      </c>
    </row>
    <row r="962" spans="13:39" hidden="1">
      <c r="M962" s="131">
        <v>125000</v>
      </c>
      <c r="N962" s="223">
        <v>566286</v>
      </c>
      <c r="O962" s="132" t="s">
        <v>244</v>
      </c>
      <c r="P962" s="132" t="s">
        <v>245</v>
      </c>
      <c r="Q962" s="133">
        <v>1528</v>
      </c>
      <c r="R962" s="132" t="s">
        <v>279</v>
      </c>
      <c r="S962" s="132" t="s">
        <v>11</v>
      </c>
      <c r="T962" s="134">
        <v>42548</v>
      </c>
      <c r="U962" s="172">
        <f t="shared" si="52"/>
        <v>2016</v>
      </c>
      <c r="V962" s="172">
        <f t="shared" si="53"/>
        <v>6</v>
      </c>
      <c r="W962" s="44" t="s">
        <v>280</v>
      </c>
      <c r="X962" t="s">
        <v>892</v>
      </c>
      <c r="Y962">
        <v>1</v>
      </c>
      <c r="AA962" s="13">
        <f t="shared" si="51"/>
        <v>125000</v>
      </c>
      <c r="AE962" s="43"/>
      <c r="AL962" s="87" t="s">
        <v>819</v>
      </c>
      <c r="AM962" s="86">
        <v>474500</v>
      </c>
    </row>
    <row r="963" spans="13:39" hidden="1">
      <c r="M963" s="131">
        <v>125252</v>
      </c>
      <c r="N963" s="223">
        <v>492837</v>
      </c>
      <c r="O963" s="132" t="s">
        <v>244</v>
      </c>
      <c r="P963" s="132" t="s">
        <v>245</v>
      </c>
      <c r="Q963" s="133">
        <v>41</v>
      </c>
      <c r="R963" s="132" t="s">
        <v>279</v>
      </c>
      <c r="S963" s="132" t="s">
        <v>11</v>
      </c>
      <c r="T963" s="134">
        <v>42246</v>
      </c>
      <c r="U963" s="172">
        <f t="shared" si="52"/>
        <v>2015</v>
      </c>
      <c r="V963" s="172">
        <f t="shared" si="53"/>
        <v>8</v>
      </c>
      <c r="W963" s="44" t="s">
        <v>291</v>
      </c>
      <c r="X963" t="s">
        <v>892</v>
      </c>
      <c r="Y963">
        <v>1</v>
      </c>
      <c r="AA963" s="13">
        <f t="shared" si="51"/>
        <v>125252</v>
      </c>
      <c r="AE963" s="43"/>
      <c r="AL963" s="87" t="s">
        <v>819</v>
      </c>
      <c r="AM963" s="86">
        <v>474996</v>
      </c>
    </row>
    <row r="964" spans="13:39" hidden="1">
      <c r="M964" s="131">
        <v>125270</v>
      </c>
      <c r="N964" s="223">
        <v>482430</v>
      </c>
      <c r="O964" s="132" t="s">
        <v>244</v>
      </c>
      <c r="P964" s="132" t="s">
        <v>245</v>
      </c>
      <c r="Q964" s="133">
        <v>504</v>
      </c>
      <c r="R964" s="132" t="s">
        <v>279</v>
      </c>
      <c r="S964" s="132" t="s">
        <v>11</v>
      </c>
      <c r="T964" s="134">
        <v>42246</v>
      </c>
      <c r="U964" s="172">
        <f t="shared" si="52"/>
        <v>2015</v>
      </c>
      <c r="V964" s="172">
        <f t="shared" si="53"/>
        <v>8</v>
      </c>
      <c r="W964" s="44" t="s">
        <v>291</v>
      </c>
      <c r="X964" t="s">
        <v>892</v>
      </c>
      <c r="Y964">
        <v>1</v>
      </c>
      <c r="AA964" s="13">
        <f t="shared" ref="AA964:AA1027" si="54">IF(M964&lt;30000,Y964*100*M964*(1-$L$1)-$L$2*Y964,M964)</f>
        <v>125270</v>
      </c>
      <c r="AE964" s="43"/>
      <c r="AL964" s="87" t="s">
        <v>819</v>
      </c>
      <c r="AM964" s="86">
        <v>475181</v>
      </c>
    </row>
    <row r="965" spans="13:39" hidden="1">
      <c r="M965" s="131">
        <v>125300</v>
      </c>
      <c r="N965" s="223">
        <v>505722</v>
      </c>
      <c r="O965" s="132" t="s">
        <v>244</v>
      </c>
      <c r="P965" s="132" t="s">
        <v>245</v>
      </c>
      <c r="Q965" s="133">
        <v>50</v>
      </c>
      <c r="R965" s="132" t="s">
        <v>279</v>
      </c>
      <c r="S965" s="132" t="s">
        <v>11</v>
      </c>
      <c r="T965" s="134">
        <v>42246</v>
      </c>
      <c r="U965" s="172">
        <f t="shared" si="52"/>
        <v>2015</v>
      </c>
      <c r="V965" s="172">
        <f t="shared" si="53"/>
        <v>8</v>
      </c>
      <c r="W965" s="44" t="s">
        <v>291</v>
      </c>
      <c r="X965" t="s">
        <v>892</v>
      </c>
      <c r="Y965">
        <v>1</v>
      </c>
      <c r="AA965" s="13">
        <f t="shared" si="54"/>
        <v>125300</v>
      </c>
      <c r="AE965" s="43"/>
      <c r="AL965" s="87" t="s">
        <v>819</v>
      </c>
      <c r="AM965" s="86">
        <v>475326</v>
      </c>
    </row>
    <row r="966" spans="13:39" hidden="1">
      <c r="M966" s="131">
        <v>125330</v>
      </c>
      <c r="N966" s="223">
        <v>482731</v>
      </c>
      <c r="O966" s="132" t="s">
        <v>244</v>
      </c>
      <c r="P966" s="132" t="s">
        <v>245</v>
      </c>
      <c r="Q966" s="133">
        <v>1591</v>
      </c>
      <c r="R966" s="132" t="s">
        <v>279</v>
      </c>
      <c r="S966" s="132" t="s">
        <v>11</v>
      </c>
      <c r="T966" s="134">
        <v>42548</v>
      </c>
      <c r="U966" s="172">
        <f t="shared" si="52"/>
        <v>2016</v>
      </c>
      <c r="V966" s="172">
        <f t="shared" si="53"/>
        <v>6</v>
      </c>
      <c r="W966" s="44" t="s">
        <v>280</v>
      </c>
      <c r="X966" t="s">
        <v>892</v>
      </c>
      <c r="Y966">
        <v>1</v>
      </c>
      <c r="AA966" s="13">
        <f t="shared" si="54"/>
        <v>125330</v>
      </c>
      <c r="AE966" s="43"/>
      <c r="AL966" s="87" t="s">
        <v>819</v>
      </c>
      <c r="AM966" s="86">
        <v>475326</v>
      </c>
    </row>
    <row r="967" spans="13:39" hidden="1">
      <c r="M967" s="131">
        <v>125500</v>
      </c>
      <c r="N967" s="223">
        <v>554324</v>
      </c>
      <c r="O967" s="132" t="s">
        <v>244</v>
      </c>
      <c r="P967" s="132" t="s">
        <v>245</v>
      </c>
      <c r="Q967" s="133">
        <v>259</v>
      </c>
      <c r="R967" s="132" t="s">
        <v>279</v>
      </c>
      <c r="S967" s="132" t="s">
        <v>11</v>
      </c>
      <c r="T967" s="134">
        <v>42548</v>
      </c>
      <c r="U967" s="172">
        <f t="shared" ref="U967:U1030" si="55">YEAR($T967)</f>
        <v>2016</v>
      </c>
      <c r="V967" s="172">
        <f t="shared" ref="V967:V1030" si="56">MONTH($T967)</f>
        <v>6</v>
      </c>
      <c r="W967" s="44" t="s">
        <v>280</v>
      </c>
      <c r="X967" t="s">
        <v>892</v>
      </c>
      <c r="Y967">
        <v>1</v>
      </c>
      <c r="AA967" s="13">
        <f t="shared" si="54"/>
        <v>125500</v>
      </c>
      <c r="AE967" s="43"/>
      <c r="AL967" s="87" t="s">
        <v>819</v>
      </c>
      <c r="AM967" s="86">
        <v>475491</v>
      </c>
    </row>
    <row r="968" spans="13:39" hidden="1">
      <c r="M968" s="131">
        <v>125505</v>
      </c>
      <c r="N968" s="223">
        <v>491845</v>
      </c>
      <c r="O968" s="132" t="s">
        <v>244</v>
      </c>
      <c r="P968" s="132" t="s">
        <v>245</v>
      </c>
      <c r="Q968" s="133">
        <v>413</v>
      </c>
      <c r="R968" s="132" t="s">
        <v>279</v>
      </c>
      <c r="S968" s="132" t="s">
        <v>11</v>
      </c>
      <c r="T968" s="134">
        <v>42246</v>
      </c>
      <c r="U968" s="172">
        <f t="shared" si="55"/>
        <v>2015</v>
      </c>
      <c r="V968" s="172">
        <f t="shared" si="56"/>
        <v>8</v>
      </c>
      <c r="W968" s="44" t="s">
        <v>291</v>
      </c>
      <c r="X968" t="s">
        <v>892</v>
      </c>
      <c r="Y968">
        <v>1</v>
      </c>
      <c r="AA968" s="13">
        <f t="shared" si="54"/>
        <v>125505</v>
      </c>
      <c r="AE968" s="43"/>
      <c r="AL968" s="87" t="s">
        <v>819</v>
      </c>
      <c r="AM968" s="86">
        <v>475491</v>
      </c>
    </row>
    <row r="969" spans="13:39" hidden="1">
      <c r="M969" s="131">
        <v>125555</v>
      </c>
      <c r="N969" s="223">
        <v>483421</v>
      </c>
      <c r="O969" s="132" t="s">
        <v>244</v>
      </c>
      <c r="P969" s="132" t="s">
        <v>245</v>
      </c>
      <c r="Q969" s="133">
        <v>242</v>
      </c>
      <c r="R969" s="132" t="s">
        <v>279</v>
      </c>
      <c r="S969" s="132" t="s">
        <v>11</v>
      </c>
      <c r="T969" s="134">
        <v>42246</v>
      </c>
      <c r="U969" s="172">
        <f t="shared" si="55"/>
        <v>2015</v>
      </c>
      <c r="V969" s="172">
        <f t="shared" si="56"/>
        <v>8</v>
      </c>
      <c r="W969" s="44" t="s">
        <v>291</v>
      </c>
      <c r="X969" t="s">
        <v>892</v>
      </c>
      <c r="Y969">
        <v>1</v>
      </c>
      <c r="AA969" s="13">
        <f t="shared" si="54"/>
        <v>125555</v>
      </c>
      <c r="AE969" s="43"/>
      <c r="AL969" s="87" t="s">
        <v>819</v>
      </c>
      <c r="AM969" s="86">
        <v>475491</v>
      </c>
    </row>
    <row r="970" spans="13:39" hidden="1">
      <c r="M970" s="131">
        <v>125600</v>
      </c>
      <c r="N970" s="223">
        <v>554895</v>
      </c>
      <c r="O970" s="132" t="s">
        <v>244</v>
      </c>
      <c r="P970" s="132" t="s">
        <v>245</v>
      </c>
      <c r="Q970" s="133">
        <v>1506</v>
      </c>
      <c r="R970" s="132" t="s">
        <v>279</v>
      </c>
      <c r="S970" s="132" t="s">
        <v>11</v>
      </c>
      <c r="T970" s="134">
        <v>42548</v>
      </c>
      <c r="U970" s="172">
        <f t="shared" si="55"/>
        <v>2016</v>
      </c>
      <c r="V970" s="172">
        <f t="shared" si="56"/>
        <v>6</v>
      </c>
      <c r="W970" s="44" t="s">
        <v>280</v>
      </c>
      <c r="X970" t="s">
        <v>892</v>
      </c>
      <c r="Y970">
        <v>1</v>
      </c>
      <c r="AA970" s="13">
        <f t="shared" si="54"/>
        <v>125600</v>
      </c>
      <c r="AE970" s="43"/>
      <c r="AL970" s="87" t="s">
        <v>819</v>
      </c>
      <c r="AM970" s="86">
        <v>475491</v>
      </c>
    </row>
    <row r="971" spans="13:39" hidden="1">
      <c r="M971" s="131">
        <v>125701</v>
      </c>
      <c r="N971" s="223">
        <v>474500</v>
      </c>
      <c r="O971" s="132" t="s">
        <v>244</v>
      </c>
      <c r="P971" s="132" t="s">
        <v>245</v>
      </c>
      <c r="Q971" s="133">
        <v>506</v>
      </c>
      <c r="R971" s="132" t="s">
        <v>279</v>
      </c>
      <c r="S971" s="132" t="s">
        <v>11</v>
      </c>
      <c r="T971" s="134">
        <v>42246</v>
      </c>
      <c r="U971" s="172">
        <f t="shared" si="55"/>
        <v>2015</v>
      </c>
      <c r="V971" s="172">
        <f t="shared" si="56"/>
        <v>8</v>
      </c>
      <c r="W971" s="44" t="s">
        <v>291</v>
      </c>
      <c r="X971" t="s">
        <v>892</v>
      </c>
      <c r="Y971">
        <v>1</v>
      </c>
      <c r="AA971" s="13">
        <f t="shared" si="54"/>
        <v>125701</v>
      </c>
      <c r="AE971" s="43"/>
      <c r="AL971" s="87" t="s">
        <v>819</v>
      </c>
      <c r="AM971" s="86">
        <v>475491</v>
      </c>
    </row>
    <row r="972" spans="13:39" hidden="1">
      <c r="M972" s="131">
        <v>126000</v>
      </c>
      <c r="N972" s="223">
        <v>479456</v>
      </c>
      <c r="O972" s="132" t="s">
        <v>244</v>
      </c>
      <c r="P972" s="132" t="s">
        <v>245</v>
      </c>
      <c r="Q972" s="133">
        <v>185</v>
      </c>
      <c r="R972" s="132" t="s">
        <v>279</v>
      </c>
      <c r="S972" s="132" t="s">
        <v>11</v>
      </c>
      <c r="T972" s="134">
        <v>42246</v>
      </c>
      <c r="U972" s="172">
        <f t="shared" si="55"/>
        <v>2015</v>
      </c>
      <c r="V972" s="172">
        <f t="shared" si="56"/>
        <v>8</v>
      </c>
      <c r="W972" s="44" t="s">
        <v>291</v>
      </c>
      <c r="X972" t="s">
        <v>892</v>
      </c>
      <c r="Y972">
        <v>1</v>
      </c>
      <c r="AA972" s="13">
        <f t="shared" si="54"/>
        <v>126000</v>
      </c>
      <c r="AE972" s="43"/>
      <c r="AL972" s="87" t="s">
        <v>819</v>
      </c>
      <c r="AM972" s="86">
        <v>475897</v>
      </c>
    </row>
    <row r="973" spans="13:39" hidden="1">
      <c r="M973" s="131">
        <v>126000</v>
      </c>
      <c r="N973" s="223">
        <v>579954</v>
      </c>
      <c r="O973" s="132" t="s">
        <v>244</v>
      </c>
      <c r="P973" s="132" t="s">
        <v>245</v>
      </c>
      <c r="Q973" s="133">
        <v>1024</v>
      </c>
      <c r="R973" s="132" t="s">
        <v>279</v>
      </c>
      <c r="S973" s="132" t="s">
        <v>11</v>
      </c>
      <c r="T973" s="134">
        <v>42548</v>
      </c>
      <c r="U973" s="172">
        <f t="shared" si="55"/>
        <v>2016</v>
      </c>
      <c r="V973" s="172">
        <f t="shared" si="56"/>
        <v>6</v>
      </c>
      <c r="W973" s="44" t="s">
        <v>280</v>
      </c>
      <c r="X973" t="s">
        <v>892</v>
      </c>
      <c r="Y973">
        <v>1</v>
      </c>
      <c r="AA973" s="13">
        <f t="shared" si="54"/>
        <v>126000</v>
      </c>
      <c r="AE973" s="43"/>
      <c r="AL973" s="87" t="s">
        <v>819</v>
      </c>
      <c r="AM973" s="86">
        <v>475897</v>
      </c>
    </row>
    <row r="974" spans="13:39" hidden="1">
      <c r="M974" s="131">
        <v>126026</v>
      </c>
      <c r="N974" s="223">
        <v>484908</v>
      </c>
      <c r="O974" s="132" t="s">
        <v>244</v>
      </c>
      <c r="P974" s="132" t="s">
        <v>245</v>
      </c>
      <c r="Q974" s="133">
        <v>182</v>
      </c>
      <c r="R974" s="132" t="s">
        <v>279</v>
      </c>
      <c r="S974" s="132" t="s">
        <v>11</v>
      </c>
      <c r="T974" s="134">
        <v>42246</v>
      </c>
      <c r="U974" s="172">
        <f t="shared" si="55"/>
        <v>2015</v>
      </c>
      <c r="V974" s="172">
        <f t="shared" si="56"/>
        <v>8</v>
      </c>
      <c r="W974" s="44" t="s">
        <v>291</v>
      </c>
      <c r="X974" t="s">
        <v>892</v>
      </c>
      <c r="Y974">
        <v>1</v>
      </c>
      <c r="AA974" s="13">
        <f t="shared" si="54"/>
        <v>126026</v>
      </c>
      <c r="AE974" s="43"/>
      <c r="AL974" s="87" t="s">
        <v>819</v>
      </c>
      <c r="AM974" s="86">
        <v>475987</v>
      </c>
    </row>
    <row r="975" spans="13:39" hidden="1">
      <c r="M975" s="131">
        <v>126026</v>
      </c>
      <c r="N975" s="223">
        <v>484908</v>
      </c>
      <c r="O975" s="132" t="s">
        <v>244</v>
      </c>
      <c r="P975" s="132" t="s">
        <v>245</v>
      </c>
      <c r="Q975" s="133">
        <v>187</v>
      </c>
      <c r="R975" s="132" t="s">
        <v>279</v>
      </c>
      <c r="S975" s="132" t="s">
        <v>11</v>
      </c>
      <c r="T975" s="134">
        <v>42246</v>
      </c>
      <c r="U975" s="172">
        <f t="shared" si="55"/>
        <v>2015</v>
      </c>
      <c r="V975" s="172">
        <f t="shared" si="56"/>
        <v>8</v>
      </c>
      <c r="W975" s="44" t="s">
        <v>291</v>
      </c>
      <c r="X975" t="s">
        <v>892</v>
      </c>
      <c r="Y975">
        <v>1</v>
      </c>
      <c r="AA975" s="13">
        <f t="shared" si="54"/>
        <v>126026</v>
      </c>
      <c r="AE975" s="43"/>
      <c r="AL975" s="87" t="s">
        <v>819</v>
      </c>
      <c r="AM975" s="86">
        <v>475987</v>
      </c>
    </row>
    <row r="976" spans="13:39" hidden="1">
      <c r="M976" s="131">
        <v>126026</v>
      </c>
      <c r="N976" s="223">
        <v>494819</v>
      </c>
      <c r="O976" s="132" t="s">
        <v>244</v>
      </c>
      <c r="P976" s="132" t="s">
        <v>245</v>
      </c>
      <c r="Q976" s="133">
        <v>360</v>
      </c>
      <c r="R976" s="132" t="s">
        <v>279</v>
      </c>
      <c r="S976" s="132" t="s">
        <v>11</v>
      </c>
      <c r="T976" s="134">
        <v>42246</v>
      </c>
      <c r="U976" s="172">
        <f t="shared" si="55"/>
        <v>2015</v>
      </c>
      <c r="V976" s="172">
        <f t="shared" si="56"/>
        <v>8</v>
      </c>
      <c r="W976" s="44" t="s">
        <v>291</v>
      </c>
      <c r="X976" t="s">
        <v>892</v>
      </c>
      <c r="Y976">
        <v>1</v>
      </c>
      <c r="AA976" s="13">
        <f t="shared" si="54"/>
        <v>126026</v>
      </c>
      <c r="AE976" s="43"/>
      <c r="AL976" s="87" t="s">
        <v>819</v>
      </c>
      <c r="AM976" s="86">
        <v>475987</v>
      </c>
    </row>
    <row r="977" spans="13:39" hidden="1">
      <c r="M977" s="131">
        <v>126036</v>
      </c>
      <c r="N977" s="223">
        <v>563437</v>
      </c>
      <c r="O977" s="132" t="s">
        <v>244</v>
      </c>
      <c r="P977" s="132" t="s">
        <v>245</v>
      </c>
      <c r="Q977" s="133">
        <v>371</v>
      </c>
      <c r="R977" s="132" t="s">
        <v>279</v>
      </c>
      <c r="S977" s="132" t="s">
        <v>11</v>
      </c>
      <c r="T977" s="134">
        <v>42548</v>
      </c>
      <c r="U977" s="172">
        <f t="shared" si="55"/>
        <v>2016</v>
      </c>
      <c r="V977" s="172">
        <f t="shared" si="56"/>
        <v>6</v>
      </c>
      <c r="W977" s="44" t="s">
        <v>280</v>
      </c>
      <c r="X977" t="s">
        <v>892</v>
      </c>
      <c r="Y977">
        <v>1</v>
      </c>
      <c r="AA977" s="13">
        <f t="shared" si="54"/>
        <v>126036</v>
      </c>
      <c r="AE977" s="43"/>
      <c r="AL977" s="87" t="s">
        <v>819</v>
      </c>
      <c r="AM977" s="86">
        <v>475987</v>
      </c>
    </row>
    <row r="978" spans="13:39" hidden="1">
      <c r="M978" s="131">
        <v>126262</v>
      </c>
      <c r="N978" s="223">
        <v>479883</v>
      </c>
      <c r="O978" s="132" t="s">
        <v>244</v>
      </c>
      <c r="P978" s="132" t="s">
        <v>245</v>
      </c>
      <c r="Q978" s="133">
        <v>1535</v>
      </c>
      <c r="R978" s="132" t="s">
        <v>279</v>
      </c>
      <c r="S978" s="132" t="s">
        <v>11</v>
      </c>
      <c r="T978" s="134">
        <v>42548</v>
      </c>
      <c r="U978" s="172">
        <f t="shared" si="55"/>
        <v>2016</v>
      </c>
      <c r="V978" s="172">
        <f t="shared" si="56"/>
        <v>6</v>
      </c>
      <c r="W978" s="44" t="s">
        <v>280</v>
      </c>
      <c r="X978" t="s">
        <v>892</v>
      </c>
      <c r="Y978">
        <v>1</v>
      </c>
      <c r="AA978" s="13">
        <f t="shared" si="54"/>
        <v>126262</v>
      </c>
      <c r="AE978" s="43"/>
      <c r="AL978" s="87" t="s">
        <v>819</v>
      </c>
      <c r="AM978" s="86">
        <v>475987</v>
      </c>
    </row>
    <row r="979" spans="13:39" hidden="1">
      <c r="M979" s="131">
        <v>126485</v>
      </c>
      <c r="N979" s="223">
        <v>591544</v>
      </c>
      <c r="O979" s="132" t="s">
        <v>244</v>
      </c>
      <c r="P979" s="132" t="s">
        <v>245</v>
      </c>
      <c r="Q979" s="133">
        <v>653</v>
      </c>
      <c r="R979" s="132" t="s">
        <v>279</v>
      </c>
      <c r="S979" s="132" t="s">
        <v>11</v>
      </c>
      <c r="T979" s="134">
        <v>42548</v>
      </c>
      <c r="U979" s="172">
        <f t="shared" si="55"/>
        <v>2016</v>
      </c>
      <c r="V979" s="172">
        <f t="shared" si="56"/>
        <v>6</v>
      </c>
      <c r="W979" s="44" t="s">
        <v>280</v>
      </c>
      <c r="X979" t="s">
        <v>892</v>
      </c>
      <c r="Y979">
        <v>1</v>
      </c>
      <c r="AA979" s="13">
        <f t="shared" si="54"/>
        <v>126485</v>
      </c>
      <c r="AE979" s="43"/>
      <c r="AL979" s="87" t="s">
        <v>819</v>
      </c>
      <c r="AM979" s="86">
        <v>476397</v>
      </c>
    </row>
    <row r="980" spans="13:39" hidden="1">
      <c r="M980" s="131">
        <v>127000</v>
      </c>
      <c r="N980" s="223">
        <v>552616</v>
      </c>
      <c r="O980" s="132" t="s">
        <v>244</v>
      </c>
      <c r="P980" s="132" t="s">
        <v>245</v>
      </c>
      <c r="Q980" s="133">
        <v>1347</v>
      </c>
      <c r="R980" s="132" t="s">
        <v>279</v>
      </c>
      <c r="S980" s="132" t="s">
        <v>11</v>
      </c>
      <c r="T980" s="134">
        <v>42548</v>
      </c>
      <c r="U980" s="172">
        <f t="shared" si="55"/>
        <v>2016</v>
      </c>
      <c r="V980" s="172">
        <f t="shared" si="56"/>
        <v>6</v>
      </c>
      <c r="W980" s="44" t="s">
        <v>280</v>
      </c>
      <c r="X980" t="s">
        <v>892</v>
      </c>
      <c r="Y980">
        <v>1</v>
      </c>
      <c r="AA980" s="13">
        <f t="shared" si="54"/>
        <v>127000</v>
      </c>
      <c r="AE980" s="43"/>
      <c r="AL980" s="87" t="s">
        <v>819</v>
      </c>
      <c r="AM980" s="86">
        <v>476466</v>
      </c>
    </row>
    <row r="981" spans="13:39" hidden="1">
      <c r="M981" s="131">
        <v>127127</v>
      </c>
      <c r="N981" s="223">
        <v>566286</v>
      </c>
      <c r="O981" s="132" t="s">
        <v>244</v>
      </c>
      <c r="P981" s="132" t="s">
        <v>245</v>
      </c>
      <c r="Q981" s="133">
        <v>1002</v>
      </c>
      <c r="R981" s="132" t="s">
        <v>279</v>
      </c>
      <c r="S981" s="132" t="s">
        <v>11</v>
      </c>
      <c r="T981" s="134">
        <v>42548</v>
      </c>
      <c r="U981" s="172">
        <f t="shared" si="55"/>
        <v>2016</v>
      </c>
      <c r="V981" s="172">
        <f t="shared" si="56"/>
        <v>6</v>
      </c>
      <c r="W981" s="44" t="s">
        <v>280</v>
      </c>
      <c r="X981" t="s">
        <v>892</v>
      </c>
      <c r="Y981">
        <v>1</v>
      </c>
      <c r="AA981" s="13">
        <f t="shared" si="54"/>
        <v>127127</v>
      </c>
      <c r="AE981" s="43"/>
      <c r="AL981" s="87" t="s">
        <v>819</v>
      </c>
      <c r="AM981" s="86">
        <v>476466</v>
      </c>
    </row>
    <row r="982" spans="13:39" hidden="1">
      <c r="M982" s="131">
        <v>127139</v>
      </c>
      <c r="N982" s="223">
        <v>565715</v>
      </c>
      <c r="O982" s="132" t="s">
        <v>244</v>
      </c>
      <c r="P982" s="132" t="s">
        <v>245</v>
      </c>
      <c r="Q982" s="133">
        <v>39</v>
      </c>
      <c r="R982" s="132" t="s">
        <v>279</v>
      </c>
      <c r="S982" s="132" t="s">
        <v>11</v>
      </c>
      <c r="T982" s="134">
        <v>42548</v>
      </c>
      <c r="U982" s="172">
        <f t="shared" si="55"/>
        <v>2016</v>
      </c>
      <c r="V982" s="172">
        <f t="shared" si="56"/>
        <v>6</v>
      </c>
      <c r="W982" s="44" t="s">
        <v>280</v>
      </c>
      <c r="X982" t="s">
        <v>892</v>
      </c>
      <c r="Y982">
        <v>1</v>
      </c>
      <c r="AA982" s="13">
        <f t="shared" si="54"/>
        <v>127139</v>
      </c>
      <c r="AE982" s="43"/>
      <c r="AL982" s="87" t="s">
        <v>819</v>
      </c>
      <c r="AM982" s="86">
        <v>476482</v>
      </c>
    </row>
    <row r="983" spans="13:39" hidden="1">
      <c r="M983" s="131">
        <v>127555</v>
      </c>
      <c r="N983" s="223">
        <v>489368</v>
      </c>
      <c r="O983" s="132" t="s">
        <v>244</v>
      </c>
      <c r="P983" s="132" t="s">
        <v>245</v>
      </c>
      <c r="Q983" s="133">
        <v>269</v>
      </c>
      <c r="R983" s="132" t="s">
        <v>279</v>
      </c>
      <c r="S983" s="132" t="s">
        <v>11</v>
      </c>
      <c r="T983" s="134">
        <v>42246</v>
      </c>
      <c r="U983" s="172">
        <f t="shared" si="55"/>
        <v>2015</v>
      </c>
      <c r="V983" s="172">
        <f t="shared" si="56"/>
        <v>8</v>
      </c>
      <c r="W983" s="44" t="s">
        <v>291</v>
      </c>
      <c r="X983" t="s">
        <v>892</v>
      </c>
      <c r="Y983">
        <v>1</v>
      </c>
      <c r="AA983" s="13">
        <f t="shared" si="54"/>
        <v>127555</v>
      </c>
      <c r="AE983" s="43"/>
      <c r="AL983" s="87" t="s">
        <v>819</v>
      </c>
      <c r="AM983" s="86">
        <v>476482</v>
      </c>
    </row>
    <row r="984" spans="13:39" hidden="1">
      <c r="M984" s="131">
        <v>127990</v>
      </c>
      <c r="N984" s="223">
        <v>503245</v>
      </c>
      <c r="O984" s="132" t="s">
        <v>244</v>
      </c>
      <c r="P984" s="132" t="s">
        <v>245</v>
      </c>
      <c r="Q984" s="133">
        <v>229</v>
      </c>
      <c r="R984" s="132" t="s">
        <v>279</v>
      </c>
      <c r="S984" s="132" t="s">
        <v>11</v>
      </c>
      <c r="T984" s="134">
        <v>42246</v>
      </c>
      <c r="U984" s="172">
        <f t="shared" si="55"/>
        <v>2015</v>
      </c>
      <c r="V984" s="172">
        <f t="shared" si="56"/>
        <v>8</v>
      </c>
      <c r="W984" s="44" t="s">
        <v>291</v>
      </c>
      <c r="X984" t="s">
        <v>892</v>
      </c>
      <c r="Y984">
        <v>1</v>
      </c>
      <c r="AA984" s="13">
        <f t="shared" si="54"/>
        <v>127990</v>
      </c>
      <c r="AE984" s="43"/>
      <c r="AL984" s="87" t="s">
        <v>819</v>
      </c>
      <c r="AM984" s="86">
        <v>476482</v>
      </c>
    </row>
    <row r="985" spans="13:39" hidden="1">
      <c r="M985" s="131">
        <v>128455</v>
      </c>
      <c r="N985" s="223">
        <v>493333</v>
      </c>
      <c r="O985" s="132" t="s">
        <v>244</v>
      </c>
      <c r="P985" s="132" t="s">
        <v>245</v>
      </c>
      <c r="Q985" s="133">
        <v>401</v>
      </c>
      <c r="R985" s="132" t="s">
        <v>279</v>
      </c>
      <c r="S985" s="132" t="s">
        <v>11</v>
      </c>
      <c r="T985" s="134">
        <v>42246</v>
      </c>
      <c r="U985" s="172">
        <f t="shared" si="55"/>
        <v>2015</v>
      </c>
      <c r="V985" s="172">
        <f t="shared" si="56"/>
        <v>8</v>
      </c>
      <c r="W985" s="44" t="s">
        <v>291</v>
      </c>
      <c r="X985" t="s">
        <v>892</v>
      </c>
      <c r="Y985">
        <v>1</v>
      </c>
      <c r="AA985" s="13">
        <f t="shared" si="54"/>
        <v>128455</v>
      </c>
      <c r="AE985" s="43"/>
      <c r="AL985" s="87" t="s">
        <v>819</v>
      </c>
      <c r="AM985" s="86">
        <v>476482</v>
      </c>
    </row>
    <row r="986" spans="13:39" hidden="1">
      <c r="M986" s="131">
        <v>129000</v>
      </c>
      <c r="N986" s="223">
        <v>555464</v>
      </c>
      <c r="O986" s="132" t="s">
        <v>244</v>
      </c>
      <c r="P986" s="132" t="s">
        <v>245</v>
      </c>
      <c r="Q986" s="133">
        <v>443</v>
      </c>
      <c r="R986" s="132" t="s">
        <v>279</v>
      </c>
      <c r="S986" s="132" t="s">
        <v>11</v>
      </c>
      <c r="T986" s="134">
        <v>42548</v>
      </c>
      <c r="U986" s="172">
        <f t="shared" si="55"/>
        <v>2016</v>
      </c>
      <c r="V986" s="172">
        <f t="shared" si="56"/>
        <v>6</v>
      </c>
      <c r="W986" s="44" t="s">
        <v>280</v>
      </c>
      <c r="X986" t="s">
        <v>892</v>
      </c>
      <c r="Y986">
        <v>1</v>
      </c>
      <c r="AA986" s="13">
        <f t="shared" si="54"/>
        <v>129000</v>
      </c>
      <c r="AE986" s="43"/>
      <c r="AL986" s="87" t="s">
        <v>819</v>
      </c>
      <c r="AM986" s="86">
        <v>476482</v>
      </c>
    </row>
    <row r="987" spans="13:39" hidden="1">
      <c r="M987" s="131">
        <v>129084</v>
      </c>
      <c r="N987" s="223">
        <v>524375</v>
      </c>
      <c r="O987" s="132" t="s">
        <v>244</v>
      </c>
      <c r="P987" s="132" t="s">
        <v>245</v>
      </c>
      <c r="Q987" s="133">
        <v>674</v>
      </c>
      <c r="R987" s="132" t="s">
        <v>279</v>
      </c>
      <c r="S987" s="132" t="s">
        <v>11</v>
      </c>
      <c r="T987" s="134">
        <v>42246</v>
      </c>
      <c r="U987" s="172">
        <f t="shared" si="55"/>
        <v>2015</v>
      </c>
      <c r="V987" s="172">
        <f t="shared" si="56"/>
        <v>8</v>
      </c>
      <c r="W987" s="44" t="s">
        <v>291</v>
      </c>
      <c r="X987" t="s">
        <v>892</v>
      </c>
      <c r="Y987">
        <v>1</v>
      </c>
      <c r="AA987" s="13">
        <f t="shared" si="54"/>
        <v>129084</v>
      </c>
      <c r="AE987" s="43"/>
      <c r="AL987" s="87" t="s">
        <v>819</v>
      </c>
      <c r="AM987" s="86">
        <v>476979</v>
      </c>
    </row>
    <row r="988" spans="13:39" hidden="1">
      <c r="M988" s="131">
        <v>129100</v>
      </c>
      <c r="N988" s="223">
        <v>480942</v>
      </c>
      <c r="O988" s="132" t="s">
        <v>244</v>
      </c>
      <c r="P988" s="132" t="s">
        <v>245</v>
      </c>
      <c r="Q988" s="133">
        <v>1</v>
      </c>
      <c r="R988" s="132" t="s">
        <v>279</v>
      </c>
      <c r="S988" s="132" t="s">
        <v>11</v>
      </c>
      <c r="T988" s="134">
        <v>42246</v>
      </c>
      <c r="U988" s="172">
        <f t="shared" si="55"/>
        <v>2015</v>
      </c>
      <c r="V988" s="172">
        <f t="shared" si="56"/>
        <v>8</v>
      </c>
      <c r="W988" s="44" t="s">
        <v>291</v>
      </c>
      <c r="X988" t="s">
        <v>892</v>
      </c>
      <c r="Y988">
        <v>1</v>
      </c>
      <c r="AA988" s="13">
        <f t="shared" si="54"/>
        <v>129100</v>
      </c>
      <c r="AE988" s="43"/>
      <c r="AL988" s="87" t="s">
        <v>819</v>
      </c>
      <c r="AM988" s="86">
        <v>476979</v>
      </c>
    </row>
    <row r="989" spans="13:39" hidden="1">
      <c r="M989" s="131">
        <v>129489</v>
      </c>
      <c r="N989" s="223">
        <v>484413</v>
      </c>
      <c r="O989" s="132" t="s">
        <v>244</v>
      </c>
      <c r="P989" s="132" t="s">
        <v>245</v>
      </c>
      <c r="Q989" s="133">
        <v>102</v>
      </c>
      <c r="R989" s="132" t="s">
        <v>279</v>
      </c>
      <c r="S989" s="132" t="s">
        <v>11</v>
      </c>
      <c r="T989" s="134">
        <v>42246</v>
      </c>
      <c r="U989" s="172">
        <f t="shared" si="55"/>
        <v>2015</v>
      </c>
      <c r="V989" s="172">
        <f t="shared" si="56"/>
        <v>8</v>
      </c>
      <c r="W989" s="44" t="s">
        <v>291</v>
      </c>
      <c r="X989" t="s">
        <v>892</v>
      </c>
      <c r="Y989">
        <v>1</v>
      </c>
      <c r="AA989" s="13">
        <f t="shared" si="54"/>
        <v>129489</v>
      </c>
      <c r="AE989" s="43"/>
      <c r="AL989" s="87" t="s">
        <v>819</v>
      </c>
      <c r="AM989" s="86">
        <v>477035</v>
      </c>
    </row>
    <row r="990" spans="13:39" hidden="1">
      <c r="M990" s="131">
        <v>129560</v>
      </c>
      <c r="N990" s="223">
        <v>481934</v>
      </c>
      <c r="O990" s="132" t="s">
        <v>244</v>
      </c>
      <c r="P990" s="132" t="s">
        <v>245</v>
      </c>
      <c r="Q990" s="133">
        <v>160</v>
      </c>
      <c r="R990" s="132" t="s">
        <v>279</v>
      </c>
      <c r="S990" s="132" t="s">
        <v>11</v>
      </c>
      <c r="T990" s="134">
        <v>42246</v>
      </c>
      <c r="U990" s="172">
        <f t="shared" si="55"/>
        <v>2015</v>
      </c>
      <c r="V990" s="172">
        <f t="shared" si="56"/>
        <v>8</v>
      </c>
      <c r="W990" s="44" t="s">
        <v>291</v>
      </c>
      <c r="X990" t="s">
        <v>892</v>
      </c>
      <c r="Y990">
        <v>1</v>
      </c>
      <c r="AA990" s="13">
        <f t="shared" si="54"/>
        <v>129560</v>
      </c>
      <c r="AE990" s="43"/>
      <c r="AL990" s="87" t="s">
        <v>819</v>
      </c>
      <c r="AM990" s="86">
        <v>477605</v>
      </c>
    </row>
    <row r="991" spans="13:39" hidden="1">
      <c r="M991" s="131">
        <v>130000</v>
      </c>
      <c r="N991" s="223">
        <v>484413</v>
      </c>
      <c r="O991" s="132" t="s">
        <v>244</v>
      </c>
      <c r="P991" s="132" t="s">
        <v>245</v>
      </c>
      <c r="Q991" s="133">
        <v>60</v>
      </c>
      <c r="R991" s="132" t="s">
        <v>279</v>
      </c>
      <c r="S991" s="132" t="s">
        <v>11</v>
      </c>
      <c r="T991" s="134">
        <v>42246</v>
      </c>
      <c r="U991" s="172">
        <f t="shared" si="55"/>
        <v>2015</v>
      </c>
      <c r="V991" s="172">
        <f t="shared" si="56"/>
        <v>8</v>
      </c>
      <c r="W991" s="44" t="s">
        <v>291</v>
      </c>
      <c r="X991" t="s">
        <v>892</v>
      </c>
      <c r="Y991">
        <v>1</v>
      </c>
      <c r="AA991" s="13">
        <f t="shared" si="54"/>
        <v>130000</v>
      </c>
      <c r="AE991" s="43"/>
      <c r="AL991" s="87" t="s">
        <v>819</v>
      </c>
      <c r="AM991" s="86">
        <v>477623</v>
      </c>
    </row>
    <row r="992" spans="13:39" hidden="1">
      <c r="M992" s="131">
        <v>130000</v>
      </c>
      <c r="N992" s="223">
        <v>548061</v>
      </c>
      <c r="O992" s="132" t="s">
        <v>244</v>
      </c>
      <c r="P992" s="132" t="s">
        <v>245</v>
      </c>
      <c r="Q992" s="133">
        <v>1118</v>
      </c>
      <c r="R992" s="132" t="s">
        <v>279</v>
      </c>
      <c r="S992" s="132" t="s">
        <v>11</v>
      </c>
      <c r="T992" s="134">
        <v>42548</v>
      </c>
      <c r="U992" s="172">
        <f t="shared" si="55"/>
        <v>2016</v>
      </c>
      <c r="V992" s="172">
        <f t="shared" si="56"/>
        <v>6</v>
      </c>
      <c r="W992" s="44" t="s">
        <v>280</v>
      </c>
      <c r="X992" t="s">
        <v>892</v>
      </c>
      <c r="Y992">
        <v>1</v>
      </c>
      <c r="AA992" s="13">
        <f t="shared" si="54"/>
        <v>130000</v>
      </c>
      <c r="AE992" s="43"/>
      <c r="AL992" s="87" t="s">
        <v>819</v>
      </c>
      <c r="AM992" s="86">
        <v>477623</v>
      </c>
    </row>
    <row r="993" spans="13:39" hidden="1">
      <c r="M993" s="131">
        <v>130000</v>
      </c>
      <c r="N993" s="223">
        <v>550338</v>
      </c>
      <c r="O993" s="132" t="s">
        <v>244</v>
      </c>
      <c r="P993" s="132" t="s">
        <v>245</v>
      </c>
      <c r="Q993" s="133">
        <v>1342</v>
      </c>
      <c r="R993" s="132" t="s">
        <v>279</v>
      </c>
      <c r="S993" s="132" t="s">
        <v>11</v>
      </c>
      <c r="T993" s="134">
        <v>42548</v>
      </c>
      <c r="U993" s="172">
        <f t="shared" si="55"/>
        <v>2016</v>
      </c>
      <c r="V993" s="172">
        <f t="shared" si="56"/>
        <v>6</v>
      </c>
      <c r="W993" s="44" t="s">
        <v>280</v>
      </c>
      <c r="X993" t="s">
        <v>892</v>
      </c>
      <c r="Y993">
        <v>1</v>
      </c>
      <c r="AA993" s="13">
        <f t="shared" si="54"/>
        <v>130000</v>
      </c>
      <c r="AE993" s="43"/>
      <c r="AL993" s="87" t="s">
        <v>819</v>
      </c>
      <c r="AM993" s="86">
        <v>477970</v>
      </c>
    </row>
    <row r="994" spans="13:39" hidden="1">
      <c r="M994" s="131">
        <v>130000</v>
      </c>
      <c r="N994" s="223">
        <v>550908</v>
      </c>
      <c r="O994" s="132" t="s">
        <v>244</v>
      </c>
      <c r="P994" s="132" t="s">
        <v>245</v>
      </c>
      <c r="Q994" s="133">
        <v>1126</v>
      </c>
      <c r="R994" s="132" t="s">
        <v>279</v>
      </c>
      <c r="S994" s="132" t="s">
        <v>11</v>
      </c>
      <c r="T994" s="134">
        <v>42548</v>
      </c>
      <c r="U994" s="172">
        <f t="shared" si="55"/>
        <v>2016</v>
      </c>
      <c r="V994" s="172">
        <f t="shared" si="56"/>
        <v>6</v>
      </c>
      <c r="W994" s="44" t="s">
        <v>280</v>
      </c>
      <c r="X994" t="s">
        <v>892</v>
      </c>
      <c r="Y994">
        <v>1</v>
      </c>
      <c r="AA994" s="13">
        <f t="shared" si="54"/>
        <v>130000</v>
      </c>
      <c r="AE994" s="43"/>
      <c r="AL994" s="87" t="s">
        <v>819</v>
      </c>
      <c r="AM994" s="86">
        <v>477978</v>
      </c>
    </row>
    <row r="995" spans="13:39" hidden="1">
      <c r="M995" s="131">
        <v>130000</v>
      </c>
      <c r="N995" s="223">
        <v>550908</v>
      </c>
      <c r="O995" s="132" t="s">
        <v>244</v>
      </c>
      <c r="P995" s="132" t="s">
        <v>245</v>
      </c>
      <c r="Q995" s="133">
        <v>1291</v>
      </c>
      <c r="R995" s="132" t="s">
        <v>279</v>
      </c>
      <c r="S995" s="132" t="s">
        <v>11</v>
      </c>
      <c r="T995" s="134">
        <v>42548</v>
      </c>
      <c r="U995" s="172">
        <f t="shared" si="55"/>
        <v>2016</v>
      </c>
      <c r="V995" s="172">
        <f t="shared" si="56"/>
        <v>6</v>
      </c>
      <c r="W995" s="44" t="s">
        <v>280</v>
      </c>
      <c r="X995" t="s">
        <v>892</v>
      </c>
      <c r="Y995">
        <v>1</v>
      </c>
      <c r="AA995" s="13">
        <f t="shared" si="54"/>
        <v>130000</v>
      </c>
      <c r="AE995" s="43"/>
      <c r="AL995" s="87" t="s">
        <v>819</v>
      </c>
      <c r="AM995" s="86">
        <v>478174</v>
      </c>
    </row>
    <row r="996" spans="13:39" hidden="1">
      <c r="M996" s="131">
        <v>130000</v>
      </c>
      <c r="N996" s="223">
        <v>565715</v>
      </c>
      <c r="O996" s="132" t="s">
        <v>244</v>
      </c>
      <c r="P996" s="132" t="s">
        <v>245</v>
      </c>
      <c r="Q996" s="133">
        <v>320</v>
      </c>
      <c r="R996" s="132" t="s">
        <v>279</v>
      </c>
      <c r="S996" s="132" t="s">
        <v>11</v>
      </c>
      <c r="T996" s="134">
        <v>42548</v>
      </c>
      <c r="U996" s="172">
        <f t="shared" si="55"/>
        <v>2016</v>
      </c>
      <c r="V996" s="172">
        <f t="shared" si="56"/>
        <v>6</v>
      </c>
      <c r="W996" s="44" t="s">
        <v>280</v>
      </c>
      <c r="X996" t="s">
        <v>892</v>
      </c>
      <c r="Y996">
        <v>1</v>
      </c>
      <c r="AA996" s="13">
        <f t="shared" si="54"/>
        <v>130000</v>
      </c>
      <c r="AE996" s="43"/>
      <c r="AL996" s="87" t="s">
        <v>819</v>
      </c>
      <c r="AM996" s="86">
        <v>478174</v>
      </c>
    </row>
    <row r="997" spans="13:39" hidden="1">
      <c r="M997" s="131">
        <v>130000</v>
      </c>
      <c r="N997" s="223">
        <v>575967</v>
      </c>
      <c r="O997" s="132" t="s">
        <v>244</v>
      </c>
      <c r="P997" s="132" t="s">
        <v>245</v>
      </c>
      <c r="Q997" s="133">
        <v>1357</v>
      </c>
      <c r="R997" s="132" t="s">
        <v>279</v>
      </c>
      <c r="S997" s="132" t="s">
        <v>11</v>
      </c>
      <c r="T997" s="134">
        <v>42548</v>
      </c>
      <c r="U997" s="172">
        <f t="shared" si="55"/>
        <v>2016</v>
      </c>
      <c r="V997" s="172">
        <f t="shared" si="56"/>
        <v>6</v>
      </c>
      <c r="W997" s="44" t="s">
        <v>280</v>
      </c>
      <c r="X997" t="s">
        <v>892</v>
      </c>
      <c r="Y997">
        <v>1</v>
      </c>
      <c r="AA997" s="13">
        <f t="shared" si="54"/>
        <v>130000</v>
      </c>
      <c r="AE997" s="43"/>
      <c r="AL997" s="87" t="s">
        <v>819</v>
      </c>
      <c r="AM997" s="86">
        <v>478174</v>
      </c>
    </row>
    <row r="998" spans="13:39" hidden="1">
      <c r="M998" s="131">
        <v>131000</v>
      </c>
      <c r="N998" s="223">
        <v>548630</v>
      </c>
      <c r="O998" s="132" t="s">
        <v>244</v>
      </c>
      <c r="P998" s="132" t="s">
        <v>245</v>
      </c>
      <c r="Q998" s="133">
        <v>1328</v>
      </c>
      <c r="R998" s="132" t="s">
        <v>279</v>
      </c>
      <c r="S998" s="132" t="s">
        <v>11</v>
      </c>
      <c r="T998" s="134">
        <v>42548</v>
      </c>
      <c r="U998" s="172">
        <f t="shared" si="55"/>
        <v>2016</v>
      </c>
      <c r="V998" s="172">
        <f t="shared" si="56"/>
        <v>6</v>
      </c>
      <c r="W998" s="44" t="s">
        <v>280</v>
      </c>
      <c r="X998" t="s">
        <v>892</v>
      </c>
      <c r="Y998">
        <v>1</v>
      </c>
      <c r="AA998" s="13">
        <f t="shared" si="54"/>
        <v>131000</v>
      </c>
      <c r="AE998" s="43"/>
      <c r="AL998" s="87" t="s">
        <v>819</v>
      </c>
      <c r="AM998" s="86">
        <v>478174</v>
      </c>
    </row>
    <row r="999" spans="13:39" hidden="1">
      <c r="M999" s="131">
        <v>131000</v>
      </c>
      <c r="N999" s="223">
        <v>551477</v>
      </c>
      <c r="O999" s="132" t="s">
        <v>244</v>
      </c>
      <c r="P999" s="132" t="s">
        <v>245</v>
      </c>
      <c r="Q999" s="133">
        <v>1434</v>
      </c>
      <c r="R999" s="132" t="s">
        <v>279</v>
      </c>
      <c r="S999" s="132" t="s">
        <v>11</v>
      </c>
      <c r="T999" s="134">
        <v>42548</v>
      </c>
      <c r="U999" s="172">
        <f t="shared" si="55"/>
        <v>2016</v>
      </c>
      <c r="V999" s="172">
        <f t="shared" si="56"/>
        <v>6</v>
      </c>
      <c r="W999" s="44" t="s">
        <v>280</v>
      </c>
      <c r="X999" t="s">
        <v>892</v>
      </c>
      <c r="Y999">
        <v>1</v>
      </c>
      <c r="AA999" s="13">
        <f t="shared" si="54"/>
        <v>131000</v>
      </c>
      <c r="AE999" s="43"/>
      <c r="AL999" s="87" t="s">
        <v>819</v>
      </c>
      <c r="AM999" s="86">
        <v>478174</v>
      </c>
    </row>
    <row r="1000" spans="13:39" hidden="1">
      <c r="M1000" s="131">
        <v>131000</v>
      </c>
      <c r="N1000" s="223">
        <v>602734</v>
      </c>
      <c r="O1000" s="132" t="s">
        <v>244</v>
      </c>
      <c r="P1000" s="132" t="s">
        <v>245</v>
      </c>
      <c r="Q1000" s="133">
        <v>1606</v>
      </c>
      <c r="R1000" s="132" t="s">
        <v>279</v>
      </c>
      <c r="S1000" s="132" t="s">
        <v>11</v>
      </c>
      <c r="T1000" s="134">
        <v>42548</v>
      </c>
      <c r="U1000" s="172">
        <f t="shared" si="55"/>
        <v>2016</v>
      </c>
      <c r="V1000" s="172">
        <f t="shared" si="56"/>
        <v>6</v>
      </c>
      <c r="W1000" s="44" t="s">
        <v>280</v>
      </c>
      <c r="X1000" t="s">
        <v>892</v>
      </c>
      <c r="Y1000">
        <v>1</v>
      </c>
      <c r="AA1000" s="13">
        <f t="shared" si="54"/>
        <v>131000</v>
      </c>
      <c r="AE1000" s="43"/>
      <c r="AL1000" s="87" t="s">
        <v>819</v>
      </c>
      <c r="AM1000" s="86">
        <v>478174</v>
      </c>
    </row>
    <row r="1001" spans="13:39" hidden="1">
      <c r="M1001" s="131">
        <v>131118</v>
      </c>
      <c r="N1001" s="223">
        <v>490359</v>
      </c>
      <c r="O1001" s="132" t="s">
        <v>244</v>
      </c>
      <c r="P1001" s="132" t="s">
        <v>245</v>
      </c>
      <c r="Q1001" s="133">
        <v>299</v>
      </c>
      <c r="R1001" s="132" t="s">
        <v>279</v>
      </c>
      <c r="S1001" s="132" t="s">
        <v>11</v>
      </c>
      <c r="T1001" s="134">
        <v>42246</v>
      </c>
      <c r="U1001" s="172">
        <f t="shared" si="55"/>
        <v>2015</v>
      </c>
      <c r="V1001" s="172">
        <f t="shared" si="56"/>
        <v>8</v>
      </c>
      <c r="W1001" s="44" t="s">
        <v>291</v>
      </c>
      <c r="X1001" t="s">
        <v>892</v>
      </c>
      <c r="Y1001">
        <v>1</v>
      </c>
      <c r="AA1001" s="13">
        <f t="shared" si="54"/>
        <v>131118</v>
      </c>
      <c r="AE1001" s="43"/>
      <c r="AL1001" s="87" t="s">
        <v>819</v>
      </c>
      <c r="AM1001" s="86">
        <v>478174</v>
      </c>
    </row>
    <row r="1002" spans="13:39" hidden="1">
      <c r="M1002" s="131">
        <v>131501</v>
      </c>
      <c r="N1002" s="223">
        <v>493333</v>
      </c>
      <c r="O1002" s="132" t="s">
        <v>244</v>
      </c>
      <c r="P1002" s="132" t="s">
        <v>245</v>
      </c>
      <c r="Q1002" s="133">
        <v>435</v>
      </c>
      <c r="R1002" s="132" t="s">
        <v>279</v>
      </c>
      <c r="S1002" s="132" t="s">
        <v>11</v>
      </c>
      <c r="T1002" s="134">
        <v>42246</v>
      </c>
      <c r="U1002" s="172">
        <f t="shared" si="55"/>
        <v>2015</v>
      </c>
      <c r="V1002" s="172">
        <f t="shared" si="56"/>
        <v>8</v>
      </c>
      <c r="W1002" s="44" t="s">
        <v>291</v>
      </c>
      <c r="X1002" t="s">
        <v>892</v>
      </c>
      <c r="Y1002">
        <v>1</v>
      </c>
      <c r="AA1002" s="13">
        <f t="shared" si="54"/>
        <v>131501</v>
      </c>
      <c r="AE1002" s="43"/>
      <c r="AL1002" s="87" t="s">
        <v>819</v>
      </c>
      <c r="AM1002" s="86">
        <v>478174</v>
      </c>
    </row>
    <row r="1003" spans="13:39" hidden="1">
      <c r="M1003" s="131">
        <v>131630</v>
      </c>
      <c r="N1003" s="223">
        <v>483421</v>
      </c>
      <c r="O1003" s="132" t="s">
        <v>244</v>
      </c>
      <c r="P1003" s="132" t="s">
        <v>245</v>
      </c>
      <c r="Q1003" s="133">
        <v>243</v>
      </c>
      <c r="R1003" s="132" t="s">
        <v>279</v>
      </c>
      <c r="S1003" s="132" t="s">
        <v>11</v>
      </c>
      <c r="T1003" s="134">
        <v>42246</v>
      </c>
      <c r="U1003" s="172">
        <f t="shared" si="55"/>
        <v>2015</v>
      </c>
      <c r="V1003" s="172">
        <f t="shared" si="56"/>
        <v>8</v>
      </c>
      <c r="W1003" s="44" t="s">
        <v>291</v>
      </c>
      <c r="X1003" t="s">
        <v>892</v>
      </c>
      <c r="Y1003">
        <v>1</v>
      </c>
      <c r="AA1003" s="13">
        <f t="shared" si="54"/>
        <v>131630</v>
      </c>
      <c r="AE1003" s="43"/>
      <c r="AL1003" s="87" t="s">
        <v>819</v>
      </c>
      <c r="AM1003" s="86">
        <v>478174</v>
      </c>
    </row>
    <row r="1004" spans="13:39" hidden="1">
      <c r="M1004" s="131">
        <v>131750</v>
      </c>
      <c r="N1004" s="223">
        <v>544074</v>
      </c>
      <c r="O1004" s="132" t="s">
        <v>244</v>
      </c>
      <c r="P1004" s="132" t="s">
        <v>245</v>
      </c>
      <c r="Q1004" s="133">
        <v>1038</v>
      </c>
      <c r="R1004" s="132" t="s">
        <v>279</v>
      </c>
      <c r="S1004" s="132" t="s">
        <v>11</v>
      </c>
      <c r="T1004" s="134">
        <v>42548</v>
      </c>
      <c r="U1004" s="172">
        <f t="shared" si="55"/>
        <v>2016</v>
      </c>
      <c r="V1004" s="172">
        <f t="shared" si="56"/>
        <v>6</v>
      </c>
      <c r="W1004" s="44" t="s">
        <v>280</v>
      </c>
      <c r="X1004" t="s">
        <v>892</v>
      </c>
      <c r="Y1004">
        <v>1</v>
      </c>
      <c r="AA1004" s="13">
        <f t="shared" si="54"/>
        <v>131750</v>
      </c>
      <c r="AE1004" s="43"/>
      <c r="AL1004" s="87" t="s">
        <v>819</v>
      </c>
      <c r="AM1004" s="86">
        <v>478174</v>
      </c>
    </row>
    <row r="1005" spans="13:39" hidden="1">
      <c r="M1005" s="131">
        <v>131777</v>
      </c>
      <c r="N1005" s="223">
        <v>544643</v>
      </c>
      <c r="O1005" s="132" t="s">
        <v>244</v>
      </c>
      <c r="P1005" s="132" t="s">
        <v>245</v>
      </c>
      <c r="Q1005" s="133">
        <v>1436</v>
      </c>
      <c r="R1005" s="132" t="s">
        <v>279</v>
      </c>
      <c r="S1005" s="132" t="s">
        <v>11</v>
      </c>
      <c r="T1005" s="134">
        <v>42548</v>
      </c>
      <c r="U1005" s="172">
        <f t="shared" si="55"/>
        <v>2016</v>
      </c>
      <c r="V1005" s="172">
        <f t="shared" si="56"/>
        <v>6</v>
      </c>
      <c r="W1005" s="44" t="s">
        <v>280</v>
      </c>
      <c r="X1005" t="s">
        <v>892</v>
      </c>
      <c r="Y1005">
        <v>1</v>
      </c>
      <c r="AA1005" s="13">
        <f t="shared" si="54"/>
        <v>131777</v>
      </c>
      <c r="AE1005" s="43"/>
      <c r="AL1005" s="87" t="s">
        <v>819</v>
      </c>
      <c r="AM1005" s="86">
        <v>478174</v>
      </c>
    </row>
    <row r="1006" spans="13:39" hidden="1">
      <c r="M1006" s="131">
        <v>131925</v>
      </c>
      <c r="N1006" s="223">
        <v>545782</v>
      </c>
      <c r="O1006" s="132" t="s">
        <v>244</v>
      </c>
      <c r="P1006" s="132" t="s">
        <v>245</v>
      </c>
      <c r="Q1006" s="133">
        <v>1037</v>
      </c>
      <c r="R1006" s="132" t="s">
        <v>279</v>
      </c>
      <c r="S1006" s="132" t="s">
        <v>11</v>
      </c>
      <c r="T1006" s="134">
        <v>42548</v>
      </c>
      <c r="U1006" s="172">
        <f t="shared" si="55"/>
        <v>2016</v>
      </c>
      <c r="V1006" s="172">
        <f t="shared" si="56"/>
        <v>6</v>
      </c>
      <c r="W1006" s="44" t="s">
        <v>280</v>
      </c>
      <c r="X1006" t="s">
        <v>892</v>
      </c>
      <c r="Y1006">
        <v>1</v>
      </c>
      <c r="AA1006" s="13">
        <f t="shared" si="54"/>
        <v>131925</v>
      </c>
      <c r="AE1006" s="43"/>
      <c r="AL1006" s="87" t="s">
        <v>819</v>
      </c>
      <c r="AM1006" s="86">
        <v>478465</v>
      </c>
    </row>
    <row r="1007" spans="13:39" hidden="1">
      <c r="M1007" s="131">
        <v>132000</v>
      </c>
      <c r="N1007" s="223">
        <v>542935</v>
      </c>
      <c r="O1007" s="132" t="s">
        <v>244</v>
      </c>
      <c r="P1007" s="132" t="s">
        <v>245</v>
      </c>
      <c r="Q1007" s="133">
        <v>1468</v>
      </c>
      <c r="R1007" s="132" t="s">
        <v>279</v>
      </c>
      <c r="S1007" s="132" t="s">
        <v>11</v>
      </c>
      <c r="T1007" s="134">
        <v>42548</v>
      </c>
      <c r="U1007" s="172">
        <f t="shared" si="55"/>
        <v>2016</v>
      </c>
      <c r="V1007" s="172">
        <f t="shared" si="56"/>
        <v>6</v>
      </c>
      <c r="W1007" s="44" t="s">
        <v>280</v>
      </c>
      <c r="X1007" t="s">
        <v>892</v>
      </c>
      <c r="Y1007">
        <v>1</v>
      </c>
      <c r="AA1007" s="13">
        <f t="shared" si="54"/>
        <v>132000</v>
      </c>
      <c r="AE1007" s="43"/>
      <c r="AL1007" s="87" t="s">
        <v>819</v>
      </c>
      <c r="AM1007" s="86">
        <v>478655</v>
      </c>
    </row>
    <row r="1008" spans="13:39" hidden="1">
      <c r="M1008" s="131">
        <v>132000</v>
      </c>
      <c r="N1008" s="223">
        <v>578079</v>
      </c>
      <c r="O1008" s="132" t="s">
        <v>244</v>
      </c>
      <c r="P1008" s="132" t="s">
        <v>245</v>
      </c>
      <c r="Q1008" s="133">
        <v>27</v>
      </c>
      <c r="R1008" s="132" t="s">
        <v>279</v>
      </c>
      <c r="S1008" s="132" t="s">
        <v>11</v>
      </c>
      <c r="T1008" s="134">
        <v>42246</v>
      </c>
      <c r="U1008" s="172">
        <f t="shared" si="55"/>
        <v>2015</v>
      </c>
      <c r="V1008" s="172">
        <f t="shared" si="56"/>
        <v>8</v>
      </c>
      <c r="W1008" s="44" t="s">
        <v>291</v>
      </c>
      <c r="X1008" t="s">
        <v>892</v>
      </c>
      <c r="Y1008">
        <v>1</v>
      </c>
      <c r="AA1008" s="13">
        <f t="shared" si="54"/>
        <v>132000</v>
      </c>
      <c r="AE1008" s="43"/>
      <c r="AL1008" s="87" t="s">
        <v>819</v>
      </c>
      <c r="AM1008" s="86">
        <v>478844</v>
      </c>
    </row>
    <row r="1009" spans="13:39" hidden="1">
      <c r="M1009" s="131">
        <v>132000</v>
      </c>
      <c r="N1009" s="223">
        <v>595900</v>
      </c>
      <c r="O1009" s="132" t="s">
        <v>244</v>
      </c>
      <c r="P1009" s="132" t="s">
        <v>245</v>
      </c>
      <c r="Q1009" s="133">
        <v>1012</v>
      </c>
      <c r="R1009" s="132" t="s">
        <v>279</v>
      </c>
      <c r="S1009" s="132" t="s">
        <v>11</v>
      </c>
      <c r="T1009" s="134">
        <v>42548</v>
      </c>
      <c r="U1009" s="172">
        <f t="shared" si="55"/>
        <v>2016</v>
      </c>
      <c r="V1009" s="172">
        <f t="shared" si="56"/>
        <v>6</v>
      </c>
      <c r="W1009" s="44" t="s">
        <v>280</v>
      </c>
      <c r="X1009" t="s">
        <v>892</v>
      </c>
      <c r="Y1009">
        <v>1</v>
      </c>
      <c r="AA1009" s="13">
        <f t="shared" si="54"/>
        <v>132000</v>
      </c>
      <c r="AE1009" s="43"/>
      <c r="AL1009" s="87" t="s">
        <v>819</v>
      </c>
      <c r="AM1009" s="86">
        <v>478960</v>
      </c>
    </row>
    <row r="1010" spans="13:39" hidden="1">
      <c r="M1010" s="131">
        <v>132200</v>
      </c>
      <c r="N1010" s="223">
        <v>553755</v>
      </c>
      <c r="O1010" s="132" t="s">
        <v>244</v>
      </c>
      <c r="P1010" s="132" t="s">
        <v>245</v>
      </c>
      <c r="Q1010" s="133">
        <v>1096</v>
      </c>
      <c r="R1010" s="132" t="s">
        <v>279</v>
      </c>
      <c r="S1010" s="132" t="s">
        <v>11</v>
      </c>
      <c r="T1010" s="134">
        <v>42548</v>
      </c>
      <c r="U1010" s="172">
        <f t="shared" si="55"/>
        <v>2016</v>
      </c>
      <c r="V1010" s="172">
        <f t="shared" si="56"/>
        <v>6</v>
      </c>
      <c r="W1010" s="44" t="s">
        <v>280</v>
      </c>
      <c r="X1010" t="s">
        <v>892</v>
      </c>
      <c r="Y1010">
        <v>1</v>
      </c>
      <c r="AA1010" s="13">
        <f t="shared" si="54"/>
        <v>132200</v>
      </c>
      <c r="AE1010" s="43"/>
      <c r="AL1010" s="87" t="s">
        <v>819</v>
      </c>
      <c r="AM1010" s="86">
        <v>478960</v>
      </c>
    </row>
    <row r="1011" spans="13:39" hidden="1">
      <c r="M1011" s="131">
        <v>132555</v>
      </c>
      <c r="N1011" s="223">
        <v>595900</v>
      </c>
      <c r="O1011" s="132" t="s">
        <v>244</v>
      </c>
      <c r="P1011" s="132" t="s">
        <v>245</v>
      </c>
      <c r="Q1011" s="133">
        <v>1422</v>
      </c>
      <c r="R1011" s="132" t="s">
        <v>279</v>
      </c>
      <c r="S1011" s="132" t="s">
        <v>11</v>
      </c>
      <c r="T1011" s="134">
        <v>42548</v>
      </c>
      <c r="U1011" s="172">
        <f t="shared" si="55"/>
        <v>2016</v>
      </c>
      <c r="V1011" s="172">
        <f t="shared" si="56"/>
        <v>6</v>
      </c>
      <c r="W1011" s="44" t="s">
        <v>280</v>
      </c>
      <c r="X1011" t="s">
        <v>892</v>
      </c>
      <c r="Y1011">
        <v>1</v>
      </c>
      <c r="AA1011" s="13">
        <f t="shared" si="54"/>
        <v>132555</v>
      </c>
      <c r="AE1011" s="43"/>
      <c r="AL1011" s="87" t="s">
        <v>819</v>
      </c>
      <c r="AM1011" s="86">
        <v>479313</v>
      </c>
    </row>
    <row r="1012" spans="13:39" hidden="1">
      <c r="M1012" s="131">
        <v>132835</v>
      </c>
      <c r="N1012" s="223">
        <v>570272</v>
      </c>
      <c r="O1012" s="132" t="s">
        <v>244</v>
      </c>
      <c r="P1012" s="132" t="s">
        <v>245</v>
      </c>
      <c r="Q1012" s="133">
        <v>30</v>
      </c>
      <c r="R1012" s="132" t="s">
        <v>279</v>
      </c>
      <c r="S1012" s="132" t="s">
        <v>11</v>
      </c>
      <c r="T1012" s="134">
        <v>42548</v>
      </c>
      <c r="U1012" s="172">
        <f t="shared" si="55"/>
        <v>2016</v>
      </c>
      <c r="V1012" s="172">
        <f t="shared" si="56"/>
        <v>6</v>
      </c>
      <c r="W1012" s="44" t="s">
        <v>280</v>
      </c>
      <c r="X1012" t="s">
        <v>892</v>
      </c>
      <c r="Y1012">
        <v>1</v>
      </c>
      <c r="AA1012" s="13">
        <f t="shared" si="54"/>
        <v>132835</v>
      </c>
      <c r="AE1012" s="43"/>
      <c r="AL1012" s="87" t="s">
        <v>819</v>
      </c>
      <c r="AM1012" s="86">
        <v>479456</v>
      </c>
    </row>
    <row r="1013" spans="13:39" hidden="1">
      <c r="M1013" s="131">
        <v>133000</v>
      </c>
      <c r="N1013" s="223">
        <v>493828</v>
      </c>
      <c r="O1013" s="132" t="s">
        <v>244</v>
      </c>
      <c r="P1013" s="132" t="s">
        <v>245</v>
      </c>
      <c r="Q1013" s="133">
        <v>173</v>
      </c>
      <c r="R1013" s="132" t="s">
        <v>279</v>
      </c>
      <c r="S1013" s="132" t="s">
        <v>11</v>
      </c>
      <c r="T1013" s="134">
        <v>42246</v>
      </c>
      <c r="U1013" s="172">
        <f t="shared" si="55"/>
        <v>2015</v>
      </c>
      <c r="V1013" s="172">
        <f t="shared" si="56"/>
        <v>8</v>
      </c>
      <c r="W1013" s="44" t="s">
        <v>291</v>
      </c>
      <c r="X1013" t="s">
        <v>892</v>
      </c>
      <c r="Y1013">
        <v>1</v>
      </c>
      <c r="AA1013" s="13">
        <f t="shared" si="54"/>
        <v>133000</v>
      </c>
      <c r="AE1013" s="43"/>
      <c r="AL1013" s="87" t="s">
        <v>819</v>
      </c>
      <c r="AM1013" s="86">
        <v>479456</v>
      </c>
    </row>
    <row r="1014" spans="13:39" hidden="1">
      <c r="M1014" s="131">
        <v>133369</v>
      </c>
      <c r="N1014" s="223">
        <v>544074</v>
      </c>
      <c r="O1014" s="132" t="s">
        <v>244</v>
      </c>
      <c r="P1014" s="132" t="s">
        <v>245</v>
      </c>
      <c r="Q1014" s="133">
        <v>1080</v>
      </c>
      <c r="R1014" s="132" t="s">
        <v>279</v>
      </c>
      <c r="S1014" s="132" t="s">
        <v>11</v>
      </c>
      <c r="T1014" s="134">
        <v>42548</v>
      </c>
      <c r="U1014" s="172">
        <f t="shared" si="55"/>
        <v>2016</v>
      </c>
      <c r="V1014" s="172">
        <f t="shared" si="56"/>
        <v>6</v>
      </c>
      <c r="W1014" s="44" t="s">
        <v>280</v>
      </c>
      <c r="X1014" t="s">
        <v>892</v>
      </c>
      <c r="Y1014">
        <v>1</v>
      </c>
      <c r="AA1014" s="13">
        <f t="shared" si="54"/>
        <v>133369</v>
      </c>
      <c r="AE1014" s="43"/>
      <c r="AL1014" s="87" t="s">
        <v>819</v>
      </c>
      <c r="AM1014" s="86">
        <v>479456</v>
      </c>
    </row>
    <row r="1015" spans="13:39" hidden="1">
      <c r="M1015" s="131">
        <v>133615</v>
      </c>
      <c r="N1015" s="223">
        <v>496802</v>
      </c>
      <c r="O1015" s="132" t="s">
        <v>244</v>
      </c>
      <c r="P1015" s="132" t="s">
        <v>245</v>
      </c>
      <c r="Q1015" s="133">
        <v>445</v>
      </c>
      <c r="R1015" s="132" t="s">
        <v>279</v>
      </c>
      <c r="S1015" s="132" t="s">
        <v>11</v>
      </c>
      <c r="T1015" s="134">
        <v>42246</v>
      </c>
      <c r="U1015" s="172">
        <f t="shared" si="55"/>
        <v>2015</v>
      </c>
      <c r="V1015" s="172">
        <f t="shared" si="56"/>
        <v>8</v>
      </c>
      <c r="W1015" s="44" t="s">
        <v>291</v>
      </c>
      <c r="X1015" t="s">
        <v>892</v>
      </c>
      <c r="Y1015">
        <v>1</v>
      </c>
      <c r="AA1015" s="13">
        <f t="shared" si="54"/>
        <v>133615</v>
      </c>
      <c r="AE1015" s="43"/>
      <c r="AL1015" s="87" t="s">
        <v>819</v>
      </c>
      <c r="AM1015" s="86">
        <v>479456</v>
      </c>
    </row>
    <row r="1016" spans="13:39" hidden="1">
      <c r="M1016" s="131">
        <v>134652</v>
      </c>
      <c r="N1016" s="223">
        <v>554324</v>
      </c>
      <c r="O1016" s="132" t="s">
        <v>244</v>
      </c>
      <c r="P1016" s="132" t="s">
        <v>245</v>
      </c>
      <c r="Q1016" s="133">
        <v>1040</v>
      </c>
      <c r="R1016" s="132" t="s">
        <v>279</v>
      </c>
      <c r="S1016" s="132" t="s">
        <v>11</v>
      </c>
      <c r="T1016" s="134">
        <v>42548</v>
      </c>
      <c r="U1016" s="172">
        <f t="shared" si="55"/>
        <v>2016</v>
      </c>
      <c r="V1016" s="172">
        <f t="shared" si="56"/>
        <v>6</v>
      </c>
      <c r="W1016" s="44" t="s">
        <v>280</v>
      </c>
      <c r="X1016" t="s">
        <v>892</v>
      </c>
      <c r="Y1016">
        <v>1</v>
      </c>
      <c r="AA1016" s="13">
        <f t="shared" si="54"/>
        <v>134652</v>
      </c>
      <c r="AE1016" s="43"/>
      <c r="AL1016" s="87" t="s">
        <v>819</v>
      </c>
      <c r="AM1016" s="86">
        <v>479456</v>
      </c>
    </row>
    <row r="1017" spans="13:39" hidden="1">
      <c r="M1017" s="131">
        <v>134777</v>
      </c>
      <c r="N1017" s="223">
        <v>474500</v>
      </c>
      <c r="O1017" s="132" t="s">
        <v>244</v>
      </c>
      <c r="P1017" s="132" t="s">
        <v>245</v>
      </c>
      <c r="Q1017" s="133">
        <v>241</v>
      </c>
      <c r="R1017" s="132" t="s">
        <v>279</v>
      </c>
      <c r="S1017" s="132" t="s">
        <v>11</v>
      </c>
      <c r="T1017" s="134">
        <v>42246</v>
      </c>
      <c r="U1017" s="172">
        <f t="shared" si="55"/>
        <v>2015</v>
      </c>
      <c r="V1017" s="172">
        <f t="shared" si="56"/>
        <v>8</v>
      </c>
      <c r="W1017" s="44" t="s">
        <v>291</v>
      </c>
      <c r="X1017" t="s">
        <v>892</v>
      </c>
      <c r="Y1017">
        <v>1</v>
      </c>
      <c r="AA1017" s="13">
        <f t="shared" si="54"/>
        <v>134777</v>
      </c>
      <c r="AE1017" s="43"/>
      <c r="AL1017" s="87" t="s">
        <v>819</v>
      </c>
      <c r="AM1017" s="86">
        <v>479456</v>
      </c>
    </row>
    <row r="1018" spans="13:39" hidden="1">
      <c r="M1018" s="131">
        <v>135000</v>
      </c>
      <c r="N1018" s="223">
        <v>523881</v>
      </c>
      <c r="O1018" s="132" t="s">
        <v>244</v>
      </c>
      <c r="P1018" s="132" t="s">
        <v>245</v>
      </c>
      <c r="Q1018" s="133">
        <v>660</v>
      </c>
      <c r="R1018" s="132" t="s">
        <v>279</v>
      </c>
      <c r="S1018" s="132" t="s">
        <v>11</v>
      </c>
      <c r="T1018" s="134">
        <v>42246</v>
      </c>
      <c r="U1018" s="172">
        <f t="shared" si="55"/>
        <v>2015</v>
      </c>
      <c r="V1018" s="172">
        <f t="shared" si="56"/>
        <v>8</v>
      </c>
      <c r="W1018" s="44" t="s">
        <v>291</v>
      </c>
      <c r="X1018" t="s">
        <v>892</v>
      </c>
      <c r="Y1018">
        <v>1</v>
      </c>
      <c r="AA1018" s="13">
        <f t="shared" si="54"/>
        <v>135000</v>
      </c>
      <c r="AE1018" s="43"/>
      <c r="AL1018" s="87" t="s">
        <v>819</v>
      </c>
      <c r="AM1018" s="86">
        <v>479456</v>
      </c>
    </row>
    <row r="1019" spans="13:39" hidden="1">
      <c r="M1019" s="131">
        <v>135000</v>
      </c>
      <c r="N1019" s="223">
        <v>542935</v>
      </c>
      <c r="O1019" s="132" t="s">
        <v>244</v>
      </c>
      <c r="P1019" s="132" t="s">
        <v>245</v>
      </c>
      <c r="Q1019" s="133">
        <v>1041</v>
      </c>
      <c r="R1019" s="132" t="s">
        <v>279</v>
      </c>
      <c r="S1019" s="132" t="s">
        <v>11</v>
      </c>
      <c r="T1019" s="134">
        <v>42548</v>
      </c>
      <c r="U1019" s="172">
        <f t="shared" si="55"/>
        <v>2016</v>
      </c>
      <c r="V1019" s="172">
        <f t="shared" si="56"/>
        <v>6</v>
      </c>
      <c r="W1019" s="44" t="s">
        <v>280</v>
      </c>
      <c r="X1019" t="s">
        <v>892</v>
      </c>
      <c r="Y1019">
        <v>1</v>
      </c>
      <c r="AA1019" s="13">
        <f t="shared" si="54"/>
        <v>135000</v>
      </c>
      <c r="AE1019" s="43"/>
      <c r="AL1019" s="87" t="s">
        <v>819</v>
      </c>
      <c r="AM1019" s="86">
        <v>479456</v>
      </c>
    </row>
    <row r="1020" spans="13:39" hidden="1">
      <c r="M1020" s="131">
        <v>135000</v>
      </c>
      <c r="N1020" s="223">
        <v>550338</v>
      </c>
      <c r="O1020" s="132" t="s">
        <v>244</v>
      </c>
      <c r="P1020" s="132" t="s">
        <v>245</v>
      </c>
      <c r="Q1020" s="133">
        <v>1028</v>
      </c>
      <c r="R1020" s="132" t="s">
        <v>279</v>
      </c>
      <c r="S1020" s="132" t="s">
        <v>11</v>
      </c>
      <c r="T1020" s="134">
        <v>42548</v>
      </c>
      <c r="U1020" s="172">
        <f t="shared" si="55"/>
        <v>2016</v>
      </c>
      <c r="V1020" s="172">
        <f t="shared" si="56"/>
        <v>6</v>
      </c>
      <c r="W1020" s="44" t="s">
        <v>280</v>
      </c>
      <c r="X1020" t="s">
        <v>892</v>
      </c>
      <c r="Y1020">
        <v>1</v>
      </c>
      <c r="AA1020" s="13">
        <f t="shared" si="54"/>
        <v>135000</v>
      </c>
      <c r="AE1020" s="43"/>
      <c r="AL1020" s="87" t="s">
        <v>819</v>
      </c>
      <c r="AM1020" s="86">
        <v>479456</v>
      </c>
    </row>
    <row r="1021" spans="13:39" hidden="1">
      <c r="M1021" s="131">
        <v>135000</v>
      </c>
      <c r="N1021" s="223">
        <v>561160</v>
      </c>
      <c r="O1021" s="132" t="s">
        <v>244</v>
      </c>
      <c r="P1021" s="132" t="s">
        <v>245</v>
      </c>
      <c r="Q1021" s="133">
        <v>165</v>
      </c>
      <c r="R1021" s="132" t="s">
        <v>279</v>
      </c>
      <c r="S1021" s="132" t="s">
        <v>11</v>
      </c>
      <c r="T1021" s="134">
        <v>42548</v>
      </c>
      <c r="U1021" s="172">
        <f t="shared" si="55"/>
        <v>2016</v>
      </c>
      <c r="V1021" s="172">
        <f t="shared" si="56"/>
        <v>6</v>
      </c>
      <c r="W1021" s="44" t="s">
        <v>280</v>
      </c>
      <c r="X1021" t="s">
        <v>892</v>
      </c>
      <c r="Y1021">
        <v>1</v>
      </c>
      <c r="AA1021" s="13">
        <f t="shared" si="54"/>
        <v>135000</v>
      </c>
      <c r="AE1021" s="43"/>
      <c r="AL1021" s="87" t="s">
        <v>819</v>
      </c>
      <c r="AM1021" s="86">
        <v>479456</v>
      </c>
    </row>
    <row r="1022" spans="13:39" hidden="1">
      <c r="M1022" s="131">
        <v>135000</v>
      </c>
      <c r="N1022" s="223">
        <v>622099</v>
      </c>
      <c r="O1022" s="132" t="s">
        <v>244</v>
      </c>
      <c r="P1022" s="132" t="s">
        <v>245</v>
      </c>
      <c r="Q1022" s="133">
        <v>1229</v>
      </c>
      <c r="R1022" s="132" t="s">
        <v>279</v>
      </c>
      <c r="S1022" s="132" t="s">
        <v>11</v>
      </c>
      <c r="T1022" s="134">
        <v>42548</v>
      </c>
      <c r="U1022" s="172">
        <f t="shared" si="55"/>
        <v>2016</v>
      </c>
      <c r="V1022" s="172">
        <f t="shared" si="56"/>
        <v>6</v>
      </c>
      <c r="W1022" s="44" t="s">
        <v>280</v>
      </c>
      <c r="X1022" t="s">
        <v>892</v>
      </c>
      <c r="Y1022">
        <v>1</v>
      </c>
      <c r="AA1022" s="13">
        <f t="shared" si="54"/>
        <v>135000</v>
      </c>
      <c r="AE1022" s="43"/>
      <c r="AL1022" s="87" t="s">
        <v>819</v>
      </c>
      <c r="AM1022" s="86">
        <v>479456</v>
      </c>
    </row>
    <row r="1023" spans="13:39" hidden="1">
      <c r="M1023" s="131">
        <v>135260</v>
      </c>
      <c r="N1023" s="223">
        <v>545782</v>
      </c>
      <c r="O1023" s="132" t="s">
        <v>244</v>
      </c>
      <c r="P1023" s="132" t="s">
        <v>245</v>
      </c>
      <c r="Q1023" s="133">
        <v>1322</v>
      </c>
      <c r="R1023" s="132" t="s">
        <v>279</v>
      </c>
      <c r="S1023" s="132" t="s">
        <v>11</v>
      </c>
      <c r="T1023" s="134">
        <v>42548</v>
      </c>
      <c r="U1023" s="172">
        <f t="shared" si="55"/>
        <v>2016</v>
      </c>
      <c r="V1023" s="172">
        <f t="shared" si="56"/>
        <v>6</v>
      </c>
      <c r="W1023" s="44" t="s">
        <v>280</v>
      </c>
      <c r="X1023" t="s">
        <v>892</v>
      </c>
      <c r="Y1023">
        <v>1</v>
      </c>
      <c r="AA1023" s="13">
        <f t="shared" si="54"/>
        <v>135260</v>
      </c>
      <c r="AE1023" s="43"/>
      <c r="AL1023" s="87" t="s">
        <v>819</v>
      </c>
      <c r="AM1023" s="86">
        <v>479456</v>
      </c>
    </row>
    <row r="1024" spans="13:39" hidden="1">
      <c r="M1024" s="131">
        <v>135555</v>
      </c>
      <c r="N1024" s="223">
        <v>569702</v>
      </c>
      <c r="O1024" s="132" t="s">
        <v>244</v>
      </c>
      <c r="P1024" s="132" t="s">
        <v>245</v>
      </c>
      <c r="Q1024" s="133">
        <v>310</v>
      </c>
      <c r="R1024" s="132" t="s">
        <v>279</v>
      </c>
      <c r="S1024" s="132" t="s">
        <v>11</v>
      </c>
      <c r="T1024" s="134">
        <v>42548</v>
      </c>
      <c r="U1024" s="172">
        <f t="shared" si="55"/>
        <v>2016</v>
      </c>
      <c r="V1024" s="172">
        <f t="shared" si="56"/>
        <v>6</v>
      </c>
      <c r="W1024" s="44" t="s">
        <v>280</v>
      </c>
      <c r="X1024" t="s">
        <v>892</v>
      </c>
      <c r="Y1024">
        <v>1</v>
      </c>
      <c r="AA1024" s="13">
        <f t="shared" si="54"/>
        <v>135555</v>
      </c>
      <c r="AE1024" s="43"/>
      <c r="AL1024" s="87" t="s">
        <v>819</v>
      </c>
      <c r="AM1024" s="86">
        <v>479456</v>
      </c>
    </row>
    <row r="1025" spans="13:39" hidden="1">
      <c r="M1025" s="131">
        <v>136895</v>
      </c>
      <c r="N1025" s="223">
        <v>591544</v>
      </c>
      <c r="O1025" s="132" t="s">
        <v>244</v>
      </c>
      <c r="P1025" s="132" t="s">
        <v>245</v>
      </c>
      <c r="Q1025" s="133">
        <v>652</v>
      </c>
      <c r="R1025" s="132" t="s">
        <v>279</v>
      </c>
      <c r="S1025" s="132" t="s">
        <v>11</v>
      </c>
      <c r="T1025" s="134">
        <v>42548</v>
      </c>
      <c r="U1025" s="172">
        <f t="shared" si="55"/>
        <v>2016</v>
      </c>
      <c r="V1025" s="172">
        <f t="shared" si="56"/>
        <v>6</v>
      </c>
      <c r="W1025" s="44" t="s">
        <v>280</v>
      </c>
      <c r="X1025" t="s">
        <v>892</v>
      </c>
      <c r="Y1025">
        <v>1</v>
      </c>
      <c r="AA1025" s="13">
        <f t="shared" si="54"/>
        <v>136895</v>
      </c>
      <c r="AE1025" s="43"/>
      <c r="AL1025" s="87" t="s">
        <v>819</v>
      </c>
      <c r="AM1025" s="86">
        <v>479456</v>
      </c>
    </row>
    <row r="1026" spans="13:39" hidden="1">
      <c r="M1026" s="131">
        <v>137000</v>
      </c>
      <c r="N1026" s="223">
        <v>487385</v>
      </c>
      <c r="O1026" s="132" t="s">
        <v>244</v>
      </c>
      <c r="P1026" s="132" t="s">
        <v>245</v>
      </c>
      <c r="Q1026" s="133">
        <v>289</v>
      </c>
      <c r="R1026" s="132" t="s">
        <v>279</v>
      </c>
      <c r="S1026" s="132" t="s">
        <v>11</v>
      </c>
      <c r="T1026" s="134">
        <v>42246</v>
      </c>
      <c r="U1026" s="172">
        <f t="shared" si="55"/>
        <v>2015</v>
      </c>
      <c r="V1026" s="172">
        <f t="shared" si="56"/>
        <v>8</v>
      </c>
      <c r="W1026" s="44" t="s">
        <v>291</v>
      </c>
      <c r="X1026" t="s">
        <v>892</v>
      </c>
      <c r="Y1026">
        <v>1</v>
      </c>
      <c r="AA1026" s="13">
        <f t="shared" si="54"/>
        <v>137000</v>
      </c>
      <c r="AE1026" s="43"/>
      <c r="AL1026" s="87" t="s">
        <v>819</v>
      </c>
      <c r="AM1026" s="86">
        <v>479456</v>
      </c>
    </row>
    <row r="1027" spans="13:39" hidden="1">
      <c r="M1027" s="131">
        <v>137077</v>
      </c>
      <c r="N1027" s="223">
        <v>479456</v>
      </c>
      <c r="O1027" s="132" t="s">
        <v>244</v>
      </c>
      <c r="P1027" s="132" t="s">
        <v>245</v>
      </c>
      <c r="Q1027" s="133">
        <v>268</v>
      </c>
      <c r="R1027" s="132" t="s">
        <v>279</v>
      </c>
      <c r="S1027" s="132" t="s">
        <v>11</v>
      </c>
      <c r="T1027" s="134">
        <v>42246</v>
      </c>
      <c r="U1027" s="172">
        <f t="shared" si="55"/>
        <v>2015</v>
      </c>
      <c r="V1027" s="172">
        <f t="shared" si="56"/>
        <v>8</v>
      </c>
      <c r="W1027" s="44" t="s">
        <v>291</v>
      </c>
      <c r="X1027" t="s">
        <v>892</v>
      </c>
      <c r="Y1027">
        <v>1</v>
      </c>
      <c r="AA1027" s="13">
        <f t="shared" si="54"/>
        <v>137077</v>
      </c>
      <c r="AE1027" s="43"/>
      <c r="AL1027" s="87" t="s">
        <v>819</v>
      </c>
      <c r="AM1027" s="86">
        <v>479456</v>
      </c>
    </row>
    <row r="1028" spans="13:39" hidden="1">
      <c r="M1028" s="131">
        <v>137777</v>
      </c>
      <c r="N1028" s="223">
        <v>586788</v>
      </c>
      <c r="O1028" s="132" t="s">
        <v>244</v>
      </c>
      <c r="P1028" s="132" t="s">
        <v>245</v>
      </c>
      <c r="Q1028" s="133">
        <v>86</v>
      </c>
      <c r="R1028" s="132" t="s">
        <v>279</v>
      </c>
      <c r="S1028" s="132" t="s">
        <v>11</v>
      </c>
      <c r="T1028" s="134">
        <v>42548</v>
      </c>
      <c r="U1028" s="172">
        <f t="shared" si="55"/>
        <v>2016</v>
      </c>
      <c r="V1028" s="172">
        <f t="shared" si="56"/>
        <v>6</v>
      </c>
      <c r="W1028" s="44" t="s">
        <v>280</v>
      </c>
      <c r="X1028" t="s">
        <v>892</v>
      </c>
      <c r="Y1028">
        <v>1</v>
      </c>
      <c r="AA1028" s="13">
        <f t="shared" ref="AA1028:AA1091" si="57">IF(M1028&lt;30000,Y1028*100*M1028*(1-$L$1)-$L$2*Y1028,M1028)</f>
        <v>137777</v>
      </c>
      <c r="AE1028" s="43"/>
      <c r="AL1028" s="87" t="s">
        <v>819</v>
      </c>
      <c r="AM1028" s="86">
        <v>479456</v>
      </c>
    </row>
    <row r="1029" spans="13:39" hidden="1">
      <c r="M1029" s="131">
        <v>137987</v>
      </c>
      <c r="N1029" s="223">
        <v>542935</v>
      </c>
      <c r="O1029" s="132" t="s">
        <v>244</v>
      </c>
      <c r="P1029" s="132" t="s">
        <v>245</v>
      </c>
      <c r="Q1029" s="133">
        <v>1415</v>
      </c>
      <c r="R1029" s="132" t="s">
        <v>279</v>
      </c>
      <c r="S1029" s="132" t="s">
        <v>11</v>
      </c>
      <c r="T1029" s="134">
        <v>42548</v>
      </c>
      <c r="U1029" s="172">
        <f t="shared" si="55"/>
        <v>2016</v>
      </c>
      <c r="V1029" s="172">
        <f t="shared" si="56"/>
        <v>6</v>
      </c>
      <c r="W1029" s="44" t="s">
        <v>280</v>
      </c>
      <c r="X1029" t="s">
        <v>892</v>
      </c>
      <c r="Y1029">
        <v>1</v>
      </c>
      <c r="AA1029" s="13">
        <f t="shared" si="57"/>
        <v>137987</v>
      </c>
      <c r="AE1029" s="43"/>
      <c r="AL1029" s="87" t="s">
        <v>819</v>
      </c>
      <c r="AM1029" s="86">
        <v>479456</v>
      </c>
    </row>
    <row r="1030" spans="13:39" hidden="1">
      <c r="M1030" s="131">
        <v>138532</v>
      </c>
      <c r="N1030" s="223">
        <v>490854</v>
      </c>
      <c r="O1030" s="132" t="s">
        <v>244</v>
      </c>
      <c r="P1030" s="132" t="s">
        <v>245</v>
      </c>
      <c r="Q1030" s="133">
        <v>452</v>
      </c>
      <c r="R1030" s="132" t="s">
        <v>279</v>
      </c>
      <c r="S1030" s="132" t="s">
        <v>11</v>
      </c>
      <c r="T1030" s="134">
        <v>42246</v>
      </c>
      <c r="U1030" s="172">
        <f t="shared" si="55"/>
        <v>2015</v>
      </c>
      <c r="V1030" s="172">
        <f t="shared" si="56"/>
        <v>8</v>
      </c>
      <c r="W1030" s="44" t="s">
        <v>291</v>
      </c>
      <c r="X1030" t="s">
        <v>892</v>
      </c>
      <c r="Y1030">
        <v>1</v>
      </c>
      <c r="AA1030" s="13">
        <f t="shared" si="57"/>
        <v>138532</v>
      </c>
      <c r="AE1030" s="43"/>
      <c r="AL1030" s="87" t="s">
        <v>819</v>
      </c>
      <c r="AM1030" s="86">
        <v>479456</v>
      </c>
    </row>
    <row r="1031" spans="13:39" hidden="1">
      <c r="M1031" s="131">
        <v>140000</v>
      </c>
      <c r="N1031" s="223">
        <v>479951</v>
      </c>
      <c r="O1031" s="132" t="s">
        <v>244</v>
      </c>
      <c r="P1031" s="132" t="s">
        <v>245</v>
      </c>
      <c r="Q1031" s="133">
        <v>157</v>
      </c>
      <c r="R1031" s="132" t="s">
        <v>279</v>
      </c>
      <c r="S1031" s="132" t="s">
        <v>11</v>
      </c>
      <c r="T1031" s="134">
        <v>42246</v>
      </c>
      <c r="U1031" s="172">
        <f t="shared" ref="U1031:U1094" si="58">YEAR($T1031)</f>
        <v>2015</v>
      </c>
      <c r="V1031" s="172">
        <f t="shared" ref="V1031:V1094" si="59">MONTH($T1031)</f>
        <v>8</v>
      </c>
      <c r="W1031" s="44" t="s">
        <v>291</v>
      </c>
      <c r="X1031" t="s">
        <v>892</v>
      </c>
      <c r="Y1031">
        <v>1</v>
      </c>
      <c r="AA1031" s="13">
        <f t="shared" si="57"/>
        <v>140000</v>
      </c>
      <c r="AE1031" s="43"/>
      <c r="AL1031" s="87" t="s">
        <v>819</v>
      </c>
      <c r="AM1031" s="86">
        <v>479456</v>
      </c>
    </row>
    <row r="1032" spans="13:39" hidden="1">
      <c r="M1032" s="131">
        <v>140000</v>
      </c>
      <c r="N1032" s="223">
        <v>485899</v>
      </c>
      <c r="O1032" s="132" t="s">
        <v>244</v>
      </c>
      <c r="P1032" s="132" t="s">
        <v>245</v>
      </c>
      <c r="Q1032" s="133">
        <v>469</v>
      </c>
      <c r="R1032" s="132" t="s">
        <v>279</v>
      </c>
      <c r="S1032" s="132" t="s">
        <v>11</v>
      </c>
      <c r="T1032" s="134">
        <v>42246</v>
      </c>
      <c r="U1032" s="172">
        <f t="shared" si="58"/>
        <v>2015</v>
      </c>
      <c r="V1032" s="172">
        <f t="shared" si="59"/>
        <v>8</v>
      </c>
      <c r="W1032" s="44" t="s">
        <v>291</v>
      </c>
      <c r="X1032" t="s">
        <v>892</v>
      </c>
      <c r="Y1032">
        <v>1</v>
      </c>
      <c r="AA1032" s="13">
        <f t="shared" si="57"/>
        <v>140000</v>
      </c>
      <c r="AE1032" s="43"/>
      <c r="AL1032" s="87" t="s">
        <v>819</v>
      </c>
      <c r="AM1032" s="86">
        <v>479456</v>
      </c>
    </row>
    <row r="1033" spans="13:39" hidden="1">
      <c r="M1033" s="131">
        <v>140000</v>
      </c>
      <c r="N1033" s="223">
        <v>487385</v>
      </c>
      <c r="O1033" s="132" t="s">
        <v>244</v>
      </c>
      <c r="P1033" s="132" t="s">
        <v>245</v>
      </c>
      <c r="Q1033" s="133">
        <v>316</v>
      </c>
      <c r="R1033" s="132" t="s">
        <v>279</v>
      </c>
      <c r="S1033" s="132" t="s">
        <v>11</v>
      </c>
      <c r="T1033" s="134">
        <v>42246</v>
      </c>
      <c r="U1033" s="172">
        <f t="shared" si="58"/>
        <v>2015</v>
      </c>
      <c r="V1033" s="172">
        <f t="shared" si="59"/>
        <v>8</v>
      </c>
      <c r="W1033" s="44" t="s">
        <v>291</v>
      </c>
      <c r="X1033" t="s">
        <v>892</v>
      </c>
      <c r="Y1033">
        <v>1</v>
      </c>
      <c r="AA1033" s="13">
        <f t="shared" si="57"/>
        <v>140000</v>
      </c>
      <c r="AE1033" s="43"/>
      <c r="AL1033" s="87" t="s">
        <v>819</v>
      </c>
      <c r="AM1033" s="86">
        <v>479456</v>
      </c>
    </row>
    <row r="1034" spans="13:39" hidden="1">
      <c r="M1034" s="131">
        <v>140000</v>
      </c>
      <c r="N1034" s="223">
        <v>546351</v>
      </c>
      <c r="O1034" s="132" t="s">
        <v>244</v>
      </c>
      <c r="P1034" s="132" t="s">
        <v>245</v>
      </c>
      <c r="Q1034" s="133">
        <v>1230</v>
      </c>
      <c r="R1034" s="132" t="s">
        <v>279</v>
      </c>
      <c r="S1034" s="132" t="s">
        <v>11</v>
      </c>
      <c r="T1034" s="134">
        <v>42548</v>
      </c>
      <c r="U1034" s="172">
        <f t="shared" si="58"/>
        <v>2016</v>
      </c>
      <c r="V1034" s="172">
        <f t="shared" si="59"/>
        <v>6</v>
      </c>
      <c r="W1034" s="44" t="s">
        <v>280</v>
      </c>
      <c r="X1034" t="s">
        <v>892</v>
      </c>
      <c r="Y1034">
        <v>1</v>
      </c>
      <c r="AA1034" s="13">
        <f t="shared" si="57"/>
        <v>140000</v>
      </c>
      <c r="AE1034" s="43"/>
      <c r="AL1034" s="87" t="s">
        <v>819</v>
      </c>
      <c r="AM1034" s="86">
        <v>479883</v>
      </c>
    </row>
    <row r="1035" spans="13:39" hidden="1">
      <c r="M1035" s="131">
        <v>140370</v>
      </c>
      <c r="N1035" s="223">
        <v>484413</v>
      </c>
      <c r="O1035" s="132" t="s">
        <v>244</v>
      </c>
      <c r="P1035" s="132" t="s">
        <v>245</v>
      </c>
      <c r="Q1035" s="133">
        <v>471</v>
      </c>
      <c r="R1035" s="132" t="s">
        <v>279</v>
      </c>
      <c r="S1035" s="132" t="s">
        <v>11</v>
      </c>
      <c r="T1035" s="134">
        <v>42246</v>
      </c>
      <c r="U1035" s="172">
        <f t="shared" si="58"/>
        <v>2015</v>
      </c>
      <c r="V1035" s="172">
        <f t="shared" si="59"/>
        <v>8</v>
      </c>
      <c r="W1035" s="44" t="s">
        <v>291</v>
      </c>
      <c r="X1035" t="s">
        <v>892</v>
      </c>
      <c r="Y1035">
        <v>1</v>
      </c>
      <c r="AA1035" s="13">
        <f t="shared" si="57"/>
        <v>140370</v>
      </c>
      <c r="AE1035" s="43"/>
      <c r="AL1035" s="87" t="s">
        <v>819</v>
      </c>
      <c r="AM1035" s="86">
        <v>479951</v>
      </c>
    </row>
    <row r="1036" spans="13:39" hidden="1">
      <c r="M1036" s="131">
        <v>140458</v>
      </c>
      <c r="N1036" s="223">
        <v>558881</v>
      </c>
      <c r="O1036" s="132" t="s">
        <v>244</v>
      </c>
      <c r="P1036" s="132" t="s">
        <v>245</v>
      </c>
      <c r="Q1036" s="133">
        <v>247</v>
      </c>
      <c r="R1036" s="132" t="s">
        <v>279</v>
      </c>
      <c r="S1036" s="132" t="s">
        <v>11</v>
      </c>
      <c r="T1036" s="134">
        <v>42548</v>
      </c>
      <c r="U1036" s="172">
        <f t="shared" si="58"/>
        <v>2016</v>
      </c>
      <c r="V1036" s="172">
        <f t="shared" si="59"/>
        <v>6</v>
      </c>
      <c r="W1036" s="44" t="s">
        <v>280</v>
      </c>
      <c r="X1036" t="s">
        <v>892</v>
      </c>
      <c r="Y1036">
        <v>1</v>
      </c>
      <c r="AA1036" s="13">
        <f t="shared" si="57"/>
        <v>140458</v>
      </c>
      <c r="AE1036" s="43"/>
      <c r="AL1036" s="87" t="s">
        <v>819</v>
      </c>
      <c r="AM1036" s="86">
        <v>479951</v>
      </c>
    </row>
    <row r="1037" spans="13:39" hidden="1">
      <c r="M1037" s="131">
        <v>140614</v>
      </c>
      <c r="N1037" s="223">
        <v>560021</v>
      </c>
      <c r="O1037" s="132" t="s">
        <v>244</v>
      </c>
      <c r="P1037" s="132" t="s">
        <v>245</v>
      </c>
      <c r="Q1037" s="133">
        <v>473</v>
      </c>
      <c r="R1037" s="132" t="s">
        <v>279</v>
      </c>
      <c r="S1037" s="132" t="s">
        <v>11</v>
      </c>
      <c r="T1037" s="134">
        <v>42548</v>
      </c>
      <c r="U1037" s="172">
        <f t="shared" si="58"/>
        <v>2016</v>
      </c>
      <c r="V1037" s="172">
        <f t="shared" si="59"/>
        <v>6</v>
      </c>
      <c r="W1037" s="44" t="s">
        <v>280</v>
      </c>
      <c r="X1037" t="s">
        <v>892</v>
      </c>
      <c r="Y1037">
        <v>1</v>
      </c>
      <c r="AA1037" s="13">
        <f t="shared" si="57"/>
        <v>140614</v>
      </c>
      <c r="AE1037" s="43"/>
      <c r="AL1037" s="87" t="s">
        <v>819</v>
      </c>
      <c r="AM1037" s="86">
        <v>479951</v>
      </c>
    </row>
    <row r="1038" spans="13:39" hidden="1">
      <c r="M1038" s="131">
        <v>140910</v>
      </c>
      <c r="N1038" s="223">
        <v>532683</v>
      </c>
      <c r="O1038" s="132" t="s">
        <v>244</v>
      </c>
      <c r="P1038" s="132" t="s">
        <v>245</v>
      </c>
      <c r="Q1038" s="133">
        <v>1516</v>
      </c>
      <c r="R1038" s="132" t="s">
        <v>279</v>
      </c>
      <c r="S1038" s="132" t="s">
        <v>11</v>
      </c>
      <c r="T1038" s="134">
        <v>42548</v>
      </c>
      <c r="U1038" s="172">
        <f t="shared" si="58"/>
        <v>2016</v>
      </c>
      <c r="V1038" s="172">
        <f t="shared" si="59"/>
        <v>6</v>
      </c>
      <c r="W1038" s="44" t="s">
        <v>280</v>
      </c>
      <c r="X1038" t="s">
        <v>892</v>
      </c>
      <c r="Y1038">
        <v>1</v>
      </c>
      <c r="AA1038" s="13">
        <f t="shared" si="57"/>
        <v>140910</v>
      </c>
      <c r="AE1038" s="43"/>
      <c r="AL1038" s="87" t="s">
        <v>819</v>
      </c>
      <c r="AM1038" s="86">
        <v>479951</v>
      </c>
    </row>
    <row r="1039" spans="13:39" hidden="1">
      <c r="M1039" s="131">
        <v>141313</v>
      </c>
      <c r="N1039" s="223">
        <v>586219</v>
      </c>
      <c r="O1039" s="132" t="s">
        <v>244</v>
      </c>
      <c r="P1039" s="132" t="s">
        <v>245</v>
      </c>
      <c r="Q1039" s="133">
        <v>1345</v>
      </c>
      <c r="R1039" s="132" t="s">
        <v>279</v>
      </c>
      <c r="S1039" s="132" t="s">
        <v>11</v>
      </c>
      <c r="T1039" s="134">
        <v>42548</v>
      </c>
      <c r="U1039" s="172">
        <f t="shared" si="58"/>
        <v>2016</v>
      </c>
      <c r="V1039" s="172">
        <f t="shared" si="59"/>
        <v>6</v>
      </c>
      <c r="W1039" s="44" t="s">
        <v>280</v>
      </c>
      <c r="X1039" t="s">
        <v>892</v>
      </c>
      <c r="Y1039">
        <v>1</v>
      </c>
      <c r="AA1039" s="13">
        <f t="shared" si="57"/>
        <v>141313</v>
      </c>
      <c r="AE1039" s="43"/>
      <c r="AL1039" s="87" t="s">
        <v>819</v>
      </c>
      <c r="AM1039" s="86">
        <v>479951</v>
      </c>
    </row>
    <row r="1040" spans="13:39" hidden="1">
      <c r="M1040" s="131">
        <v>141500</v>
      </c>
      <c r="N1040" s="223">
        <v>536101</v>
      </c>
      <c r="O1040" s="132" t="s">
        <v>244</v>
      </c>
      <c r="P1040" s="132" t="s">
        <v>245</v>
      </c>
      <c r="Q1040" s="133">
        <v>1086</v>
      </c>
      <c r="R1040" s="132" t="s">
        <v>279</v>
      </c>
      <c r="S1040" s="132" t="s">
        <v>11</v>
      </c>
      <c r="T1040" s="134">
        <v>42548</v>
      </c>
      <c r="U1040" s="172">
        <f t="shared" si="58"/>
        <v>2016</v>
      </c>
      <c r="V1040" s="172">
        <f t="shared" si="59"/>
        <v>6</v>
      </c>
      <c r="W1040" s="44" t="s">
        <v>280</v>
      </c>
      <c r="X1040" t="s">
        <v>892</v>
      </c>
      <c r="Y1040">
        <v>1</v>
      </c>
      <c r="AA1040" s="13">
        <f t="shared" si="57"/>
        <v>141500</v>
      </c>
      <c r="AE1040" s="43"/>
      <c r="AL1040" s="87" t="s">
        <v>819</v>
      </c>
      <c r="AM1040" s="86">
        <v>480065</v>
      </c>
    </row>
    <row r="1041" spans="13:39" hidden="1">
      <c r="M1041" s="131">
        <v>141564</v>
      </c>
      <c r="N1041" s="223">
        <v>493333</v>
      </c>
      <c r="O1041" s="132" t="s">
        <v>244</v>
      </c>
      <c r="P1041" s="132" t="s">
        <v>245</v>
      </c>
      <c r="Q1041" s="133">
        <v>31</v>
      </c>
      <c r="R1041" s="132" t="s">
        <v>279</v>
      </c>
      <c r="S1041" s="132" t="s">
        <v>11</v>
      </c>
      <c r="T1041" s="134">
        <v>42246</v>
      </c>
      <c r="U1041" s="172">
        <f t="shared" si="58"/>
        <v>2015</v>
      </c>
      <c r="V1041" s="172">
        <f t="shared" si="59"/>
        <v>8</v>
      </c>
      <c r="W1041" s="44" t="s">
        <v>291</v>
      </c>
      <c r="X1041" t="s">
        <v>892</v>
      </c>
      <c r="Y1041">
        <v>1</v>
      </c>
      <c r="AA1041" s="13">
        <f t="shared" si="57"/>
        <v>141564</v>
      </c>
      <c r="AE1041" s="43"/>
      <c r="AL1041" s="87" t="s">
        <v>819</v>
      </c>
      <c r="AM1041" s="86">
        <v>480065</v>
      </c>
    </row>
    <row r="1042" spans="13:39" hidden="1">
      <c r="M1042" s="131">
        <v>141663</v>
      </c>
      <c r="N1042" s="223">
        <v>484908</v>
      </c>
      <c r="O1042" s="132" t="s">
        <v>244</v>
      </c>
      <c r="P1042" s="132" t="s">
        <v>245</v>
      </c>
      <c r="Q1042" s="133">
        <v>436</v>
      </c>
      <c r="R1042" s="132" t="s">
        <v>279</v>
      </c>
      <c r="S1042" s="132" t="s">
        <v>11</v>
      </c>
      <c r="T1042" s="134">
        <v>42246</v>
      </c>
      <c r="U1042" s="172">
        <f t="shared" si="58"/>
        <v>2015</v>
      </c>
      <c r="V1042" s="172">
        <f t="shared" si="59"/>
        <v>8</v>
      </c>
      <c r="W1042" s="44" t="s">
        <v>291</v>
      </c>
      <c r="X1042" t="s">
        <v>892</v>
      </c>
      <c r="Y1042">
        <v>1</v>
      </c>
      <c r="AA1042" s="13">
        <f t="shared" si="57"/>
        <v>141663</v>
      </c>
      <c r="AE1042" s="43"/>
      <c r="AL1042" s="87" t="s">
        <v>819</v>
      </c>
      <c r="AM1042" s="86">
        <v>480261</v>
      </c>
    </row>
    <row r="1043" spans="13:39" hidden="1">
      <c r="M1043" s="131">
        <v>141890</v>
      </c>
      <c r="N1043" s="223">
        <v>532683</v>
      </c>
      <c r="O1043" s="132" t="s">
        <v>244</v>
      </c>
      <c r="P1043" s="132" t="s">
        <v>245</v>
      </c>
      <c r="Q1043" s="133">
        <v>1518</v>
      </c>
      <c r="R1043" s="132" t="s">
        <v>279</v>
      </c>
      <c r="S1043" s="132" t="s">
        <v>11</v>
      </c>
      <c r="T1043" s="134">
        <v>42548</v>
      </c>
      <c r="U1043" s="172">
        <f t="shared" si="58"/>
        <v>2016</v>
      </c>
      <c r="V1043" s="172">
        <f t="shared" si="59"/>
        <v>6</v>
      </c>
      <c r="W1043" s="44" t="s">
        <v>280</v>
      </c>
      <c r="X1043" t="s">
        <v>892</v>
      </c>
      <c r="Y1043">
        <v>1</v>
      </c>
      <c r="AA1043" s="13">
        <f t="shared" si="57"/>
        <v>141890</v>
      </c>
      <c r="AE1043" s="43"/>
      <c r="AL1043" s="87" t="s">
        <v>819</v>
      </c>
      <c r="AM1043" s="86">
        <v>480447</v>
      </c>
    </row>
    <row r="1044" spans="13:39" hidden="1">
      <c r="M1044" s="131">
        <v>142000</v>
      </c>
      <c r="N1044" s="223">
        <v>492342</v>
      </c>
      <c r="O1044" s="132" t="s">
        <v>244</v>
      </c>
      <c r="P1044" s="132" t="s">
        <v>245</v>
      </c>
      <c r="Q1044" s="133">
        <v>296</v>
      </c>
      <c r="R1044" s="132" t="s">
        <v>279</v>
      </c>
      <c r="S1044" s="132" t="s">
        <v>11</v>
      </c>
      <c r="T1044" s="134">
        <v>42246</v>
      </c>
      <c r="U1044" s="172">
        <f t="shared" si="58"/>
        <v>2015</v>
      </c>
      <c r="V1044" s="172">
        <f t="shared" si="59"/>
        <v>8</v>
      </c>
      <c r="W1044" s="44" t="s">
        <v>291</v>
      </c>
      <c r="X1044" t="s">
        <v>892</v>
      </c>
      <c r="Y1044">
        <v>1</v>
      </c>
      <c r="AA1044" s="13">
        <f t="shared" si="57"/>
        <v>142000</v>
      </c>
      <c r="AE1044" s="43"/>
      <c r="AL1044" s="87" t="s">
        <v>819</v>
      </c>
      <c r="AM1044" s="86">
        <v>480447</v>
      </c>
    </row>
    <row r="1045" spans="13:39" hidden="1">
      <c r="M1045" s="131">
        <v>143215</v>
      </c>
      <c r="N1045" s="223">
        <v>532683</v>
      </c>
      <c r="O1045" s="132" t="s">
        <v>244</v>
      </c>
      <c r="P1045" s="132" t="s">
        <v>245</v>
      </c>
      <c r="Q1045" s="133">
        <v>1514</v>
      </c>
      <c r="R1045" s="132" t="s">
        <v>279</v>
      </c>
      <c r="S1045" s="132" t="s">
        <v>11</v>
      </c>
      <c r="T1045" s="134">
        <v>42548</v>
      </c>
      <c r="U1045" s="172">
        <f t="shared" si="58"/>
        <v>2016</v>
      </c>
      <c r="V1045" s="172">
        <f t="shared" si="59"/>
        <v>6</v>
      </c>
      <c r="W1045" s="44" t="s">
        <v>280</v>
      </c>
      <c r="X1045" t="s">
        <v>892</v>
      </c>
      <c r="Y1045">
        <v>1</v>
      </c>
      <c r="AA1045" s="13">
        <f t="shared" si="57"/>
        <v>143215</v>
      </c>
      <c r="AE1045" s="43"/>
      <c r="AL1045" s="87" t="s">
        <v>819</v>
      </c>
      <c r="AM1045" s="86">
        <v>480447</v>
      </c>
    </row>
    <row r="1046" spans="13:39" hidden="1">
      <c r="M1046" s="131">
        <v>143600</v>
      </c>
      <c r="N1046" s="223">
        <v>491845</v>
      </c>
      <c r="O1046" s="132" t="s">
        <v>244</v>
      </c>
      <c r="P1046" s="132" t="s">
        <v>245</v>
      </c>
      <c r="Q1046" s="133">
        <v>495</v>
      </c>
      <c r="R1046" s="132" t="s">
        <v>279</v>
      </c>
      <c r="S1046" s="132" t="s">
        <v>11</v>
      </c>
      <c r="T1046" s="134">
        <v>42246</v>
      </c>
      <c r="U1046" s="172">
        <f t="shared" si="58"/>
        <v>2015</v>
      </c>
      <c r="V1046" s="172">
        <f t="shared" si="59"/>
        <v>8</v>
      </c>
      <c r="W1046" s="44" t="s">
        <v>291</v>
      </c>
      <c r="X1046" t="s">
        <v>892</v>
      </c>
      <c r="Y1046">
        <v>1</v>
      </c>
      <c r="AA1046" s="13">
        <f t="shared" si="57"/>
        <v>143600</v>
      </c>
      <c r="AE1046" s="43"/>
      <c r="AL1046" s="87" t="s">
        <v>819</v>
      </c>
      <c r="AM1046" s="86">
        <v>480447</v>
      </c>
    </row>
    <row r="1047" spans="13:39" hidden="1">
      <c r="M1047" s="131">
        <v>143800</v>
      </c>
      <c r="N1047" s="223">
        <v>532683</v>
      </c>
      <c r="O1047" s="132" t="s">
        <v>244</v>
      </c>
      <c r="P1047" s="132" t="s">
        <v>245</v>
      </c>
      <c r="Q1047" s="133">
        <v>1517</v>
      </c>
      <c r="R1047" s="132" t="s">
        <v>279</v>
      </c>
      <c r="S1047" s="132" t="s">
        <v>11</v>
      </c>
      <c r="T1047" s="134">
        <v>42548</v>
      </c>
      <c r="U1047" s="172">
        <f t="shared" si="58"/>
        <v>2016</v>
      </c>
      <c r="V1047" s="172">
        <f t="shared" si="59"/>
        <v>6</v>
      </c>
      <c r="W1047" s="44" t="s">
        <v>280</v>
      </c>
      <c r="X1047" t="s">
        <v>892</v>
      </c>
      <c r="Y1047">
        <v>1</v>
      </c>
      <c r="AA1047" s="13">
        <f t="shared" si="57"/>
        <v>143800</v>
      </c>
      <c r="AE1047" s="43"/>
      <c r="AL1047" s="87" t="s">
        <v>819</v>
      </c>
      <c r="AM1047" s="86">
        <v>480447</v>
      </c>
    </row>
    <row r="1048" spans="13:39" hidden="1">
      <c r="M1048" s="131">
        <v>143915</v>
      </c>
      <c r="N1048" s="223">
        <v>532683</v>
      </c>
      <c r="O1048" s="132" t="s">
        <v>244</v>
      </c>
      <c r="P1048" s="132" t="s">
        <v>245</v>
      </c>
      <c r="Q1048" s="133">
        <v>1513</v>
      </c>
      <c r="R1048" s="132" t="s">
        <v>279</v>
      </c>
      <c r="S1048" s="132" t="s">
        <v>11</v>
      </c>
      <c r="T1048" s="134">
        <v>42548</v>
      </c>
      <c r="U1048" s="172">
        <f t="shared" si="58"/>
        <v>2016</v>
      </c>
      <c r="V1048" s="172">
        <f t="shared" si="59"/>
        <v>6</v>
      </c>
      <c r="W1048" s="44" t="s">
        <v>280</v>
      </c>
      <c r="X1048" t="s">
        <v>892</v>
      </c>
      <c r="Y1048">
        <v>1</v>
      </c>
      <c r="AA1048" s="13">
        <f t="shared" si="57"/>
        <v>143915</v>
      </c>
      <c r="AE1048" s="43"/>
      <c r="AL1048" s="87" t="s">
        <v>819</v>
      </c>
      <c r="AM1048" s="86">
        <v>480447</v>
      </c>
    </row>
    <row r="1049" spans="13:39" hidden="1">
      <c r="M1049" s="131">
        <v>143999</v>
      </c>
      <c r="N1049" s="223">
        <v>510182</v>
      </c>
      <c r="O1049" s="132" t="s">
        <v>244</v>
      </c>
      <c r="P1049" s="132" t="s">
        <v>245</v>
      </c>
      <c r="Q1049" s="133">
        <v>275</v>
      </c>
      <c r="R1049" s="132" t="s">
        <v>279</v>
      </c>
      <c r="S1049" s="132" t="s">
        <v>11</v>
      </c>
      <c r="T1049" s="134">
        <v>42246</v>
      </c>
      <c r="U1049" s="172">
        <f t="shared" si="58"/>
        <v>2015</v>
      </c>
      <c r="V1049" s="172">
        <f t="shared" si="59"/>
        <v>8</v>
      </c>
      <c r="W1049" s="44" t="s">
        <v>291</v>
      </c>
      <c r="X1049" t="s">
        <v>892</v>
      </c>
      <c r="Y1049">
        <v>1</v>
      </c>
      <c r="AA1049" s="13">
        <f t="shared" si="57"/>
        <v>143999</v>
      </c>
      <c r="AE1049" s="43"/>
      <c r="AL1049" s="87" t="s">
        <v>819</v>
      </c>
      <c r="AM1049" s="86">
        <v>480447</v>
      </c>
    </row>
    <row r="1050" spans="13:39" hidden="1">
      <c r="M1050" s="131">
        <v>144000</v>
      </c>
      <c r="N1050" s="223">
        <v>479456</v>
      </c>
      <c r="O1050" s="132" t="s">
        <v>244</v>
      </c>
      <c r="P1050" s="132" t="s">
        <v>245</v>
      </c>
      <c r="Q1050" s="133">
        <v>266</v>
      </c>
      <c r="R1050" s="132" t="s">
        <v>279</v>
      </c>
      <c r="S1050" s="132" t="s">
        <v>11</v>
      </c>
      <c r="T1050" s="134">
        <v>42246</v>
      </c>
      <c r="U1050" s="172">
        <f t="shared" si="58"/>
        <v>2015</v>
      </c>
      <c r="V1050" s="172">
        <f t="shared" si="59"/>
        <v>8</v>
      </c>
      <c r="W1050" s="44" t="s">
        <v>291</v>
      </c>
      <c r="X1050" t="s">
        <v>892</v>
      </c>
      <c r="Y1050">
        <v>1</v>
      </c>
      <c r="AA1050" s="13">
        <f t="shared" si="57"/>
        <v>144000</v>
      </c>
      <c r="AE1050" s="43"/>
      <c r="AL1050" s="87" t="s">
        <v>819</v>
      </c>
      <c r="AM1050" s="86">
        <v>480447</v>
      </c>
    </row>
    <row r="1051" spans="13:39" hidden="1">
      <c r="M1051" s="131">
        <v>144000</v>
      </c>
      <c r="N1051" s="223">
        <v>479456</v>
      </c>
      <c r="O1051" s="132" t="s">
        <v>244</v>
      </c>
      <c r="P1051" s="132" t="s">
        <v>245</v>
      </c>
      <c r="Q1051" s="133">
        <v>267</v>
      </c>
      <c r="R1051" s="132" t="s">
        <v>279</v>
      </c>
      <c r="S1051" s="132" t="s">
        <v>11</v>
      </c>
      <c r="T1051" s="134">
        <v>42246</v>
      </c>
      <c r="U1051" s="172">
        <f t="shared" si="58"/>
        <v>2015</v>
      </c>
      <c r="V1051" s="172">
        <f t="shared" si="59"/>
        <v>8</v>
      </c>
      <c r="W1051" s="44" t="s">
        <v>291</v>
      </c>
      <c r="X1051" t="s">
        <v>892</v>
      </c>
      <c r="Y1051">
        <v>1</v>
      </c>
      <c r="AA1051" s="13">
        <f t="shared" si="57"/>
        <v>144000</v>
      </c>
      <c r="AE1051" s="43"/>
      <c r="AL1051" s="87" t="s">
        <v>819</v>
      </c>
      <c r="AM1051" s="86">
        <v>480447</v>
      </c>
    </row>
    <row r="1052" spans="13:39" hidden="1">
      <c r="M1052" s="131">
        <v>144000</v>
      </c>
      <c r="N1052" s="223">
        <v>530998</v>
      </c>
      <c r="O1052" s="132" t="s">
        <v>244</v>
      </c>
      <c r="P1052" s="132" t="s">
        <v>245</v>
      </c>
      <c r="Q1052" s="133">
        <v>164</v>
      </c>
      <c r="R1052" s="132" t="s">
        <v>279</v>
      </c>
      <c r="S1052" s="132" t="s">
        <v>11</v>
      </c>
      <c r="T1052" s="134">
        <v>42246</v>
      </c>
      <c r="U1052" s="172">
        <f t="shared" si="58"/>
        <v>2015</v>
      </c>
      <c r="V1052" s="172">
        <f t="shared" si="59"/>
        <v>8</v>
      </c>
      <c r="W1052" s="44" t="s">
        <v>291</v>
      </c>
      <c r="X1052" t="s">
        <v>892</v>
      </c>
      <c r="Y1052">
        <v>1</v>
      </c>
      <c r="AA1052" s="13">
        <f t="shared" si="57"/>
        <v>144000</v>
      </c>
      <c r="AE1052" s="43"/>
      <c r="AL1052" s="87" t="s">
        <v>819</v>
      </c>
      <c r="AM1052" s="86">
        <v>480447</v>
      </c>
    </row>
    <row r="1053" spans="13:39" hidden="1">
      <c r="M1053" s="131">
        <v>144000</v>
      </c>
      <c r="N1053" s="223">
        <v>532683</v>
      </c>
      <c r="O1053" s="132" t="s">
        <v>244</v>
      </c>
      <c r="P1053" s="132" t="s">
        <v>245</v>
      </c>
      <c r="Q1053" s="133">
        <v>1515</v>
      </c>
      <c r="R1053" s="132" t="s">
        <v>279</v>
      </c>
      <c r="S1053" s="132" t="s">
        <v>11</v>
      </c>
      <c r="T1053" s="134">
        <v>42548</v>
      </c>
      <c r="U1053" s="172">
        <f t="shared" si="58"/>
        <v>2016</v>
      </c>
      <c r="V1053" s="172">
        <f t="shared" si="59"/>
        <v>6</v>
      </c>
      <c r="W1053" s="44" t="s">
        <v>280</v>
      </c>
      <c r="X1053" t="s">
        <v>892</v>
      </c>
      <c r="Y1053">
        <v>1</v>
      </c>
      <c r="AA1053" s="13">
        <f t="shared" si="57"/>
        <v>144000</v>
      </c>
      <c r="AE1053" s="43"/>
      <c r="AL1053" s="87" t="s">
        <v>819</v>
      </c>
      <c r="AM1053" s="86">
        <v>480447</v>
      </c>
    </row>
    <row r="1054" spans="13:39" hidden="1">
      <c r="M1054" s="131">
        <v>144111</v>
      </c>
      <c r="N1054" s="223">
        <v>487385</v>
      </c>
      <c r="O1054" s="132" t="s">
        <v>244</v>
      </c>
      <c r="P1054" s="132" t="s">
        <v>245</v>
      </c>
      <c r="Q1054" s="133">
        <v>34</v>
      </c>
      <c r="R1054" s="132" t="s">
        <v>279</v>
      </c>
      <c r="S1054" s="132" t="s">
        <v>11</v>
      </c>
      <c r="T1054" s="134">
        <v>42246</v>
      </c>
      <c r="U1054" s="172">
        <f t="shared" si="58"/>
        <v>2015</v>
      </c>
      <c r="V1054" s="172">
        <f t="shared" si="59"/>
        <v>8</v>
      </c>
      <c r="W1054" s="44" t="s">
        <v>291</v>
      </c>
      <c r="X1054" t="s">
        <v>892</v>
      </c>
      <c r="Y1054">
        <v>1</v>
      </c>
      <c r="AA1054" s="13">
        <f t="shared" si="57"/>
        <v>144111</v>
      </c>
      <c r="AE1054" s="43"/>
      <c r="AL1054" s="87" t="s">
        <v>819</v>
      </c>
      <c r="AM1054" s="86">
        <v>480447</v>
      </c>
    </row>
    <row r="1055" spans="13:39" hidden="1">
      <c r="M1055" s="131">
        <v>144304</v>
      </c>
      <c r="N1055" s="223">
        <v>484908</v>
      </c>
      <c r="O1055" s="132" t="s">
        <v>244</v>
      </c>
      <c r="P1055" s="132" t="s">
        <v>245</v>
      </c>
      <c r="Q1055" s="133">
        <v>40</v>
      </c>
      <c r="R1055" s="132" t="s">
        <v>279</v>
      </c>
      <c r="S1055" s="132" t="s">
        <v>11</v>
      </c>
      <c r="T1055" s="134">
        <v>42246</v>
      </c>
      <c r="U1055" s="172">
        <f t="shared" si="58"/>
        <v>2015</v>
      </c>
      <c r="V1055" s="172">
        <f t="shared" si="59"/>
        <v>8</v>
      </c>
      <c r="W1055" s="44" t="s">
        <v>291</v>
      </c>
      <c r="X1055" t="s">
        <v>892</v>
      </c>
      <c r="Y1055">
        <v>1</v>
      </c>
      <c r="AA1055" s="13">
        <f t="shared" si="57"/>
        <v>144304</v>
      </c>
      <c r="AE1055" s="43"/>
      <c r="AL1055" s="87" t="s">
        <v>819</v>
      </c>
      <c r="AM1055" s="86">
        <v>480447</v>
      </c>
    </row>
    <row r="1056" spans="13:39" hidden="1">
      <c r="M1056" s="131">
        <v>145018</v>
      </c>
      <c r="N1056" s="223">
        <v>479456</v>
      </c>
      <c r="O1056" s="132" t="s">
        <v>244</v>
      </c>
      <c r="P1056" s="132" t="s">
        <v>245</v>
      </c>
      <c r="Q1056" s="133">
        <v>183</v>
      </c>
      <c r="R1056" s="132" t="s">
        <v>279</v>
      </c>
      <c r="S1056" s="132" t="s">
        <v>11</v>
      </c>
      <c r="T1056" s="134">
        <v>42246</v>
      </c>
      <c r="U1056" s="172">
        <f t="shared" si="58"/>
        <v>2015</v>
      </c>
      <c r="V1056" s="172">
        <f t="shared" si="59"/>
        <v>8</v>
      </c>
      <c r="W1056" s="44" t="s">
        <v>291</v>
      </c>
      <c r="X1056" t="s">
        <v>892</v>
      </c>
      <c r="Y1056">
        <v>1</v>
      </c>
      <c r="AA1056" s="13">
        <f t="shared" si="57"/>
        <v>145018</v>
      </c>
      <c r="AE1056" s="43"/>
      <c r="AL1056" s="87" t="s">
        <v>819</v>
      </c>
      <c r="AM1056" s="86">
        <v>480447</v>
      </c>
    </row>
    <row r="1057" spans="13:39" hidden="1">
      <c r="M1057" s="131">
        <v>145777</v>
      </c>
      <c r="N1057" s="223">
        <v>490359</v>
      </c>
      <c r="O1057" s="132" t="s">
        <v>244</v>
      </c>
      <c r="P1057" s="132" t="s">
        <v>245</v>
      </c>
      <c r="Q1057" s="133">
        <v>308</v>
      </c>
      <c r="R1057" s="132" t="s">
        <v>279</v>
      </c>
      <c r="S1057" s="132" t="s">
        <v>11</v>
      </c>
      <c r="T1057" s="134">
        <v>42246</v>
      </c>
      <c r="U1057" s="172">
        <f t="shared" si="58"/>
        <v>2015</v>
      </c>
      <c r="V1057" s="172">
        <f t="shared" si="59"/>
        <v>8</v>
      </c>
      <c r="W1057" s="44" t="s">
        <v>291</v>
      </c>
      <c r="X1057" t="s">
        <v>892</v>
      </c>
      <c r="Y1057">
        <v>1</v>
      </c>
      <c r="AA1057" s="13">
        <f t="shared" si="57"/>
        <v>145777</v>
      </c>
      <c r="AE1057" s="43"/>
      <c r="AL1057" s="87" t="s">
        <v>819</v>
      </c>
      <c r="AM1057" s="86">
        <v>480447</v>
      </c>
    </row>
    <row r="1058" spans="13:39" hidden="1">
      <c r="M1058" s="131">
        <v>146000</v>
      </c>
      <c r="N1058" s="223">
        <v>480447</v>
      </c>
      <c r="O1058" s="132" t="s">
        <v>244</v>
      </c>
      <c r="P1058" s="132" t="s">
        <v>245</v>
      </c>
      <c r="Q1058" s="133">
        <v>151</v>
      </c>
      <c r="R1058" s="132" t="s">
        <v>279</v>
      </c>
      <c r="S1058" s="132" t="s">
        <v>11</v>
      </c>
      <c r="T1058" s="134">
        <v>42246</v>
      </c>
      <c r="U1058" s="172">
        <f t="shared" si="58"/>
        <v>2015</v>
      </c>
      <c r="V1058" s="172">
        <f t="shared" si="59"/>
        <v>8</v>
      </c>
      <c r="W1058" s="44" t="s">
        <v>291</v>
      </c>
      <c r="X1058" t="s">
        <v>892</v>
      </c>
      <c r="Y1058">
        <v>1</v>
      </c>
      <c r="AA1058" s="13">
        <f t="shared" si="57"/>
        <v>146000</v>
      </c>
      <c r="AE1058" s="43"/>
      <c r="AL1058" s="87" t="s">
        <v>819</v>
      </c>
      <c r="AM1058" s="86">
        <v>480447</v>
      </c>
    </row>
    <row r="1059" spans="13:39" hidden="1">
      <c r="M1059" s="131">
        <v>146000</v>
      </c>
      <c r="N1059" s="223">
        <v>579385</v>
      </c>
      <c r="O1059" s="132" t="s">
        <v>244</v>
      </c>
      <c r="P1059" s="132" t="s">
        <v>245</v>
      </c>
      <c r="Q1059" s="133">
        <v>1498</v>
      </c>
      <c r="R1059" s="132" t="s">
        <v>279</v>
      </c>
      <c r="S1059" s="132" t="s">
        <v>11</v>
      </c>
      <c r="T1059" s="134">
        <v>42548</v>
      </c>
      <c r="U1059" s="172">
        <f t="shared" si="58"/>
        <v>2016</v>
      </c>
      <c r="V1059" s="172">
        <f t="shared" si="59"/>
        <v>6</v>
      </c>
      <c r="W1059" s="44" t="s">
        <v>280</v>
      </c>
      <c r="X1059" t="s">
        <v>892</v>
      </c>
      <c r="Y1059">
        <v>1</v>
      </c>
      <c r="AA1059" s="13">
        <f t="shared" si="57"/>
        <v>146000</v>
      </c>
      <c r="AE1059" s="43"/>
      <c r="AL1059" s="87" t="s">
        <v>819</v>
      </c>
      <c r="AM1059" s="86">
        <v>480447</v>
      </c>
    </row>
    <row r="1060" spans="13:39" hidden="1">
      <c r="M1060" s="131">
        <v>146733</v>
      </c>
      <c r="N1060" s="223">
        <v>479456</v>
      </c>
      <c r="O1060" s="132" t="s">
        <v>244</v>
      </c>
      <c r="P1060" s="132" t="s">
        <v>245</v>
      </c>
      <c r="Q1060" s="133">
        <v>256</v>
      </c>
      <c r="R1060" s="132" t="s">
        <v>279</v>
      </c>
      <c r="S1060" s="132" t="s">
        <v>11</v>
      </c>
      <c r="T1060" s="134">
        <v>42246</v>
      </c>
      <c r="U1060" s="172">
        <f t="shared" si="58"/>
        <v>2015</v>
      </c>
      <c r="V1060" s="172">
        <f t="shared" si="59"/>
        <v>8</v>
      </c>
      <c r="W1060" s="44" t="s">
        <v>291</v>
      </c>
      <c r="X1060" t="s">
        <v>892</v>
      </c>
      <c r="Y1060">
        <v>1</v>
      </c>
      <c r="AA1060" s="13">
        <f t="shared" si="57"/>
        <v>146733</v>
      </c>
      <c r="AE1060" s="43"/>
      <c r="AL1060" s="87" t="s">
        <v>819</v>
      </c>
      <c r="AM1060" s="86">
        <v>480447</v>
      </c>
    </row>
    <row r="1061" spans="13:39" hidden="1">
      <c r="M1061" s="131">
        <v>146800</v>
      </c>
      <c r="N1061" s="223">
        <v>493828</v>
      </c>
      <c r="O1061" s="132" t="s">
        <v>244</v>
      </c>
      <c r="P1061" s="132" t="s">
        <v>245</v>
      </c>
      <c r="Q1061" s="133">
        <v>503</v>
      </c>
      <c r="R1061" s="132" t="s">
        <v>279</v>
      </c>
      <c r="S1061" s="132" t="s">
        <v>11</v>
      </c>
      <c r="T1061" s="134">
        <v>42246</v>
      </c>
      <c r="U1061" s="172">
        <f t="shared" si="58"/>
        <v>2015</v>
      </c>
      <c r="V1061" s="172">
        <f t="shared" si="59"/>
        <v>8</v>
      </c>
      <c r="W1061" s="44" t="s">
        <v>291</v>
      </c>
      <c r="X1061" t="s">
        <v>892</v>
      </c>
      <c r="Y1061">
        <v>1</v>
      </c>
      <c r="AA1061" s="13">
        <f t="shared" si="57"/>
        <v>146800</v>
      </c>
      <c r="AE1061" s="43"/>
      <c r="AL1061" s="87" t="s">
        <v>819</v>
      </c>
      <c r="AM1061" s="86">
        <v>480447</v>
      </c>
    </row>
    <row r="1062" spans="13:39" hidden="1">
      <c r="M1062" s="131">
        <v>147120</v>
      </c>
      <c r="N1062" s="223">
        <v>532683</v>
      </c>
      <c r="O1062" s="132" t="s">
        <v>244</v>
      </c>
      <c r="P1062" s="132" t="s">
        <v>245</v>
      </c>
      <c r="Q1062" s="133">
        <v>1519</v>
      </c>
      <c r="R1062" s="132" t="s">
        <v>279</v>
      </c>
      <c r="S1062" s="132" t="s">
        <v>11</v>
      </c>
      <c r="T1062" s="134">
        <v>42548</v>
      </c>
      <c r="U1062" s="172">
        <f t="shared" si="58"/>
        <v>2016</v>
      </c>
      <c r="V1062" s="172">
        <f t="shared" si="59"/>
        <v>6</v>
      </c>
      <c r="W1062" s="44" t="s">
        <v>280</v>
      </c>
      <c r="X1062" t="s">
        <v>892</v>
      </c>
      <c r="Y1062">
        <v>1</v>
      </c>
      <c r="AA1062" s="13">
        <f t="shared" si="57"/>
        <v>147120</v>
      </c>
      <c r="AE1062" s="43"/>
      <c r="AL1062" s="87" t="s">
        <v>819</v>
      </c>
      <c r="AM1062" s="86">
        <v>480447</v>
      </c>
    </row>
    <row r="1063" spans="13:39" hidden="1">
      <c r="M1063" s="131">
        <v>147557</v>
      </c>
      <c r="N1063" s="223">
        <v>587358</v>
      </c>
      <c r="O1063" s="132" t="s">
        <v>244</v>
      </c>
      <c r="P1063" s="132" t="s">
        <v>245</v>
      </c>
      <c r="Q1063" s="133">
        <v>1563</v>
      </c>
      <c r="R1063" s="132" t="s">
        <v>279</v>
      </c>
      <c r="S1063" s="132" t="s">
        <v>11</v>
      </c>
      <c r="T1063" s="134">
        <v>42548</v>
      </c>
      <c r="U1063" s="172">
        <f t="shared" si="58"/>
        <v>2016</v>
      </c>
      <c r="V1063" s="172">
        <f t="shared" si="59"/>
        <v>6</v>
      </c>
      <c r="W1063" s="44" t="s">
        <v>280</v>
      </c>
      <c r="X1063" t="s">
        <v>892</v>
      </c>
      <c r="Y1063">
        <v>1</v>
      </c>
      <c r="AA1063" s="13">
        <f t="shared" si="57"/>
        <v>147557</v>
      </c>
      <c r="AE1063" s="43"/>
      <c r="AL1063" s="87" t="s">
        <v>819</v>
      </c>
      <c r="AM1063" s="86">
        <v>480942</v>
      </c>
    </row>
    <row r="1064" spans="13:39" hidden="1">
      <c r="M1064" s="131">
        <v>148225</v>
      </c>
      <c r="N1064" s="223">
        <v>518445</v>
      </c>
      <c r="O1064" s="132" t="s">
        <v>244</v>
      </c>
      <c r="P1064" s="132" t="s">
        <v>245</v>
      </c>
      <c r="Q1064" s="133">
        <v>1409</v>
      </c>
      <c r="R1064" s="132" t="s">
        <v>279</v>
      </c>
      <c r="S1064" s="132" t="s">
        <v>11</v>
      </c>
      <c r="T1064" s="134">
        <v>42548</v>
      </c>
      <c r="U1064" s="172">
        <f t="shared" si="58"/>
        <v>2016</v>
      </c>
      <c r="V1064" s="172">
        <f t="shared" si="59"/>
        <v>6</v>
      </c>
      <c r="W1064" s="44" t="s">
        <v>280</v>
      </c>
      <c r="X1064" t="s">
        <v>892</v>
      </c>
      <c r="Y1064">
        <v>1</v>
      </c>
      <c r="AA1064" s="13">
        <f t="shared" si="57"/>
        <v>148225</v>
      </c>
      <c r="AE1064" s="43"/>
      <c r="AL1064" s="87" t="s">
        <v>819</v>
      </c>
      <c r="AM1064" s="86">
        <v>480942</v>
      </c>
    </row>
    <row r="1065" spans="13:39" hidden="1">
      <c r="M1065" s="131">
        <v>149517</v>
      </c>
      <c r="N1065" s="223">
        <v>644879</v>
      </c>
      <c r="O1065" s="132" t="s">
        <v>244</v>
      </c>
      <c r="P1065" s="132" t="s">
        <v>245</v>
      </c>
      <c r="Q1065" s="133">
        <v>1227</v>
      </c>
      <c r="R1065" s="132" t="s">
        <v>279</v>
      </c>
      <c r="S1065" s="132" t="s">
        <v>11</v>
      </c>
      <c r="T1065" s="134">
        <v>42548</v>
      </c>
      <c r="U1065" s="172">
        <f t="shared" si="58"/>
        <v>2016</v>
      </c>
      <c r="V1065" s="172">
        <f t="shared" si="59"/>
        <v>6</v>
      </c>
      <c r="W1065" s="44" t="s">
        <v>280</v>
      </c>
      <c r="X1065" t="s">
        <v>892</v>
      </c>
      <c r="Y1065">
        <v>1</v>
      </c>
      <c r="AA1065" s="13">
        <f t="shared" si="57"/>
        <v>149517</v>
      </c>
      <c r="AE1065" s="43"/>
      <c r="AL1065" s="87" t="s">
        <v>819</v>
      </c>
      <c r="AM1065" s="86">
        <v>480942</v>
      </c>
    </row>
    <row r="1066" spans="13:39" hidden="1">
      <c r="M1066" s="131">
        <v>149650</v>
      </c>
      <c r="N1066" s="223">
        <v>493828</v>
      </c>
      <c r="O1066" s="132" t="s">
        <v>244</v>
      </c>
      <c r="P1066" s="132" t="s">
        <v>245</v>
      </c>
      <c r="Q1066" s="133">
        <v>501</v>
      </c>
      <c r="R1066" s="132" t="s">
        <v>279</v>
      </c>
      <c r="S1066" s="132" t="s">
        <v>11</v>
      </c>
      <c r="T1066" s="134">
        <v>42246</v>
      </c>
      <c r="U1066" s="172">
        <f t="shared" si="58"/>
        <v>2015</v>
      </c>
      <c r="V1066" s="172">
        <f t="shared" si="59"/>
        <v>8</v>
      </c>
      <c r="W1066" s="44" t="s">
        <v>291</v>
      </c>
      <c r="X1066" t="s">
        <v>892</v>
      </c>
      <c r="Y1066">
        <v>1</v>
      </c>
      <c r="AA1066" s="13">
        <f t="shared" si="57"/>
        <v>149650</v>
      </c>
      <c r="AE1066" s="43"/>
      <c r="AL1066" s="87" t="s">
        <v>819</v>
      </c>
      <c r="AM1066" s="86">
        <v>480942</v>
      </c>
    </row>
    <row r="1067" spans="13:39" hidden="1">
      <c r="M1067" s="131">
        <v>150000</v>
      </c>
      <c r="N1067" s="223">
        <v>490359</v>
      </c>
      <c r="O1067" s="132" t="s">
        <v>244</v>
      </c>
      <c r="P1067" s="132" t="s">
        <v>245</v>
      </c>
      <c r="Q1067" s="133">
        <v>468</v>
      </c>
      <c r="R1067" s="132" t="s">
        <v>279</v>
      </c>
      <c r="S1067" s="132" t="s">
        <v>11</v>
      </c>
      <c r="T1067" s="134">
        <v>42246</v>
      </c>
      <c r="U1067" s="172">
        <f t="shared" si="58"/>
        <v>2015</v>
      </c>
      <c r="V1067" s="172">
        <f t="shared" si="59"/>
        <v>8</v>
      </c>
      <c r="W1067" s="44" t="s">
        <v>291</v>
      </c>
      <c r="X1067" t="s">
        <v>892</v>
      </c>
      <c r="Y1067">
        <v>1</v>
      </c>
      <c r="AA1067" s="13">
        <f t="shared" si="57"/>
        <v>150000</v>
      </c>
      <c r="AE1067" s="43"/>
      <c r="AL1067" s="87" t="s">
        <v>819</v>
      </c>
      <c r="AM1067" s="86">
        <v>481170</v>
      </c>
    </row>
    <row r="1068" spans="13:39" hidden="1">
      <c r="M1068" s="131">
        <v>150000</v>
      </c>
      <c r="N1068" s="223">
        <v>492342</v>
      </c>
      <c r="O1068" s="132" t="s">
        <v>244</v>
      </c>
      <c r="P1068" s="132" t="s">
        <v>245</v>
      </c>
      <c r="Q1068" s="133">
        <v>524</v>
      </c>
      <c r="R1068" s="132" t="s">
        <v>279</v>
      </c>
      <c r="S1068" s="132" t="s">
        <v>11</v>
      </c>
      <c r="T1068" s="134">
        <v>42246</v>
      </c>
      <c r="U1068" s="172">
        <f t="shared" si="58"/>
        <v>2015</v>
      </c>
      <c r="V1068" s="172">
        <f t="shared" si="59"/>
        <v>8</v>
      </c>
      <c r="W1068" s="44" t="s">
        <v>291</v>
      </c>
      <c r="X1068" t="s">
        <v>892</v>
      </c>
      <c r="Y1068">
        <v>1</v>
      </c>
      <c r="AA1068" s="13">
        <f t="shared" si="57"/>
        <v>150000</v>
      </c>
      <c r="AE1068" s="43"/>
      <c r="AL1068" s="87" t="s">
        <v>819</v>
      </c>
      <c r="AM1068" s="86">
        <v>481226</v>
      </c>
    </row>
    <row r="1069" spans="13:39" hidden="1">
      <c r="M1069" s="131">
        <v>150000</v>
      </c>
      <c r="N1069" s="223">
        <v>544643</v>
      </c>
      <c r="O1069" s="132" t="s">
        <v>244</v>
      </c>
      <c r="P1069" s="132" t="s">
        <v>245</v>
      </c>
      <c r="Q1069" s="133">
        <v>1045</v>
      </c>
      <c r="R1069" s="132" t="s">
        <v>279</v>
      </c>
      <c r="S1069" s="132" t="s">
        <v>11</v>
      </c>
      <c r="T1069" s="134">
        <v>42548</v>
      </c>
      <c r="U1069" s="172">
        <f t="shared" si="58"/>
        <v>2016</v>
      </c>
      <c r="V1069" s="172">
        <f t="shared" si="59"/>
        <v>6</v>
      </c>
      <c r="W1069" s="44" t="s">
        <v>280</v>
      </c>
      <c r="X1069" t="s">
        <v>892</v>
      </c>
      <c r="Y1069">
        <v>1</v>
      </c>
      <c r="AA1069" s="13">
        <f t="shared" si="57"/>
        <v>150000</v>
      </c>
      <c r="AE1069" s="43"/>
      <c r="AL1069" s="87" t="s">
        <v>819</v>
      </c>
      <c r="AM1069" s="86">
        <v>481286</v>
      </c>
    </row>
    <row r="1070" spans="13:39" hidden="1">
      <c r="M1070" s="131">
        <v>150000</v>
      </c>
      <c r="N1070" s="223">
        <v>578246</v>
      </c>
      <c r="O1070" s="132" t="s">
        <v>244</v>
      </c>
      <c r="P1070" s="132" t="s">
        <v>245</v>
      </c>
      <c r="Q1070" s="133">
        <v>1491</v>
      </c>
      <c r="R1070" s="132" t="s">
        <v>279</v>
      </c>
      <c r="S1070" s="132" t="s">
        <v>11</v>
      </c>
      <c r="T1070" s="134">
        <v>42548</v>
      </c>
      <c r="U1070" s="172">
        <f t="shared" si="58"/>
        <v>2016</v>
      </c>
      <c r="V1070" s="172">
        <f t="shared" si="59"/>
        <v>6</v>
      </c>
      <c r="W1070" s="44" t="s">
        <v>280</v>
      </c>
      <c r="X1070" t="s">
        <v>892</v>
      </c>
      <c r="Y1070">
        <v>1</v>
      </c>
      <c r="AA1070" s="13">
        <f t="shared" si="57"/>
        <v>150000</v>
      </c>
      <c r="AE1070" s="43"/>
      <c r="AL1070" s="87" t="s">
        <v>819</v>
      </c>
      <c r="AM1070" s="86">
        <v>481439</v>
      </c>
    </row>
    <row r="1071" spans="13:39" hidden="1">
      <c r="M1071" s="131">
        <v>150000</v>
      </c>
      <c r="N1071" s="223">
        <v>595900</v>
      </c>
      <c r="O1071" s="132" t="s">
        <v>244</v>
      </c>
      <c r="P1071" s="132" t="s">
        <v>245</v>
      </c>
      <c r="Q1071" s="133">
        <v>1564</v>
      </c>
      <c r="R1071" s="132" t="s">
        <v>279</v>
      </c>
      <c r="S1071" s="132" t="s">
        <v>11</v>
      </c>
      <c r="T1071" s="134">
        <v>42548</v>
      </c>
      <c r="U1071" s="172">
        <f t="shared" si="58"/>
        <v>2016</v>
      </c>
      <c r="V1071" s="172">
        <f t="shared" si="59"/>
        <v>6</v>
      </c>
      <c r="W1071" s="44" t="s">
        <v>280</v>
      </c>
      <c r="X1071" t="s">
        <v>892</v>
      </c>
      <c r="Y1071">
        <v>1</v>
      </c>
      <c r="AA1071" s="13">
        <f t="shared" si="57"/>
        <v>150000</v>
      </c>
      <c r="AE1071" s="43"/>
      <c r="AL1071" s="87" t="s">
        <v>819</v>
      </c>
      <c r="AM1071" s="86">
        <v>481439</v>
      </c>
    </row>
    <row r="1072" spans="13:39" hidden="1">
      <c r="M1072" s="131">
        <v>150010</v>
      </c>
      <c r="N1072" s="223">
        <v>434887</v>
      </c>
      <c r="O1072" s="132" t="s">
        <v>244</v>
      </c>
      <c r="P1072" s="132" t="s">
        <v>245</v>
      </c>
      <c r="Q1072" s="133">
        <v>147</v>
      </c>
      <c r="R1072" s="132" t="s">
        <v>289</v>
      </c>
      <c r="S1072" s="132" t="s">
        <v>11</v>
      </c>
      <c r="T1072" s="134">
        <v>41652</v>
      </c>
      <c r="U1072" s="172">
        <f t="shared" si="58"/>
        <v>2014</v>
      </c>
      <c r="V1072" s="172">
        <f t="shared" si="59"/>
        <v>1</v>
      </c>
      <c r="W1072" s="44" t="s">
        <v>316</v>
      </c>
      <c r="X1072" t="s">
        <v>894</v>
      </c>
      <c r="Y1072">
        <v>1</v>
      </c>
      <c r="AA1072" s="13">
        <f t="shared" si="57"/>
        <v>150010</v>
      </c>
      <c r="AE1072" s="43"/>
      <c r="AL1072" s="87" t="s">
        <v>819</v>
      </c>
      <c r="AM1072" s="86">
        <v>481439</v>
      </c>
    </row>
    <row r="1073" spans="13:39" hidden="1">
      <c r="M1073" s="131">
        <v>150110</v>
      </c>
      <c r="N1073" s="222">
        <v>429610</v>
      </c>
      <c r="O1073" s="132" t="s">
        <v>244</v>
      </c>
      <c r="P1073" s="132" t="s">
        <v>245</v>
      </c>
      <c r="Q1073" s="133">
        <v>150</v>
      </c>
      <c r="R1073" s="132" t="s">
        <v>289</v>
      </c>
      <c r="S1073" s="132" t="s">
        <v>11</v>
      </c>
      <c r="T1073" s="134">
        <v>41652</v>
      </c>
      <c r="U1073" s="172">
        <f t="shared" si="58"/>
        <v>2014</v>
      </c>
      <c r="V1073" s="172">
        <f t="shared" si="59"/>
        <v>1</v>
      </c>
      <c r="W1073" s="44" t="s">
        <v>316</v>
      </c>
      <c r="X1073" t="s">
        <v>894</v>
      </c>
      <c r="Y1073">
        <v>1</v>
      </c>
      <c r="AA1073" s="13">
        <f t="shared" si="57"/>
        <v>150110</v>
      </c>
      <c r="AE1073" s="43"/>
      <c r="AL1073" s="87" t="s">
        <v>819</v>
      </c>
      <c r="AM1073" s="86">
        <v>481439</v>
      </c>
    </row>
    <row r="1074" spans="13:39" hidden="1">
      <c r="M1074" s="131">
        <v>150260</v>
      </c>
      <c r="N1074" s="223">
        <v>572549</v>
      </c>
      <c r="O1074" s="132" t="s">
        <v>244</v>
      </c>
      <c r="P1074" s="132" t="s">
        <v>245</v>
      </c>
      <c r="Q1074" s="133">
        <v>1500</v>
      </c>
      <c r="R1074" s="132" t="s">
        <v>279</v>
      </c>
      <c r="S1074" s="132" t="s">
        <v>11</v>
      </c>
      <c r="T1074" s="134">
        <v>42548</v>
      </c>
      <c r="U1074" s="172">
        <f t="shared" si="58"/>
        <v>2016</v>
      </c>
      <c r="V1074" s="172">
        <f t="shared" si="59"/>
        <v>6</v>
      </c>
      <c r="W1074" s="44" t="s">
        <v>280</v>
      </c>
      <c r="X1074" t="s">
        <v>892</v>
      </c>
      <c r="Y1074">
        <v>1</v>
      </c>
      <c r="AA1074" s="13">
        <f t="shared" si="57"/>
        <v>150260</v>
      </c>
      <c r="AE1074" s="43"/>
      <c r="AL1074" s="87" t="s">
        <v>819</v>
      </c>
      <c r="AM1074" s="86">
        <v>481439</v>
      </c>
    </row>
    <row r="1075" spans="13:39" hidden="1">
      <c r="M1075" s="131">
        <v>150557</v>
      </c>
      <c r="N1075" s="223">
        <v>492342</v>
      </c>
      <c r="O1075" s="132" t="s">
        <v>244</v>
      </c>
      <c r="P1075" s="132" t="s">
        <v>245</v>
      </c>
      <c r="Q1075" s="133">
        <v>431</v>
      </c>
      <c r="R1075" s="132" t="s">
        <v>279</v>
      </c>
      <c r="S1075" s="132" t="s">
        <v>11</v>
      </c>
      <c r="T1075" s="134">
        <v>42246</v>
      </c>
      <c r="U1075" s="172">
        <f t="shared" si="58"/>
        <v>2015</v>
      </c>
      <c r="V1075" s="172">
        <f t="shared" si="59"/>
        <v>8</v>
      </c>
      <c r="W1075" s="44" t="s">
        <v>291</v>
      </c>
      <c r="X1075" t="s">
        <v>892</v>
      </c>
      <c r="Y1075">
        <v>1</v>
      </c>
      <c r="AA1075" s="13">
        <f t="shared" si="57"/>
        <v>150557</v>
      </c>
      <c r="AE1075" s="43"/>
      <c r="AL1075" s="87" t="s">
        <v>819</v>
      </c>
      <c r="AM1075" s="86">
        <v>481439</v>
      </c>
    </row>
    <row r="1076" spans="13:39" hidden="1">
      <c r="M1076" s="131">
        <v>150778</v>
      </c>
      <c r="N1076" s="223">
        <v>493333</v>
      </c>
      <c r="O1076" s="132" t="s">
        <v>244</v>
      </c>
      <c r="P1076" s="132" t="s">
        <v>245</v>
      </c>
      <c r="Q1076" s="133">
        <v>410</v>
      </c>
      <c r="R1076" s="132" t="s">
        <v>279</v>
      </c>
      <c r="S1076" s="132" t="s">
        <v>11</v>
      </c>
      <c r="T1076" s="134">
        <v>42246</v>
      </c>
      <c r="U1076" s="172">
        <f t="shared" si="58"/>
        <v>2015</v>
      </c>
      <c r="V1076" s="172">
        <f t="shared" si="59"/>
        <v>8</v>
      </c>
      <c r="W1076" s="44" t="s">
        <v>291</v>
      </c>
      <c r="X1076" t="s">
        <v>892</v>
      </c>
      <c r="Y1076">
        <v>1</v>
      </c>
      <c r="AA1076" s="13">
        <f t="shared" si="57"/>
        <v>150778</v>
      </c>
      <c r="AE1076" s="43"/>
      <c r="AL1076" s="87" t="s">
        <v>819</v>
      </c>
      <c r="AM1076" s="86">
        <v>481592</v>
      </c>
    </row>
    <row r="1077" spans="13:39" hidden="1">
      <c r="M1077" s="131">
        <v>151000</v>
      </c>
      <c r="N1077" s="223">
        <v>491350</v>
      </c>
      <c r="O1077" s="132" t="s">
        <v>244</v>
      </c>
      <c r="P1077" s="132" t="s">
        <v>245</v>
      </c>
      <c r="Q1077" s="133">
        <v>418</v>
      </c>
      <c r="R1077" s="132" t="s">
        <v>279</v>
      </c>
      <c r="S1077" s="132" t="s">
        <v>11</v>
      </c>
      <c r="T1077" s="134">
        <v>42246</v>
      </c>
      <c r="U1077" s="172">
        <f t="shared" si="58"/>
        <v>2015</v>
      </c>
      <c r="V1077" s="172">
        <f t="shared" si="59"/>
        <v>8</v>
      </c>
      <c r="W1077" s="44" t="s">
        <v>291</v>
      </c>
      <c r="X1077" t="s">
        <v>892</v>
      </c>
      <c r="Y1077">
        <v>1</v>
      </c>
      <c r="AA1077" s="13">
        <f t="shared" si="57"/>
        <v>151000</v>
      </c>
      <c r="AE1077" s="43"/>
      <c r="AL1077" s="87" t="s">
        <v>819</v>
      </c>
      <c r="AM1077" s="86">
        <v>481934</v>
      </c>
    </row>
    <row r="1078" spans="13:39" hidden="1">
      <c r="M1078" s="131">
        <v>151000</v>
      </c>
      <c r="N1078" s="223">
        <v>492342</v>
      </c>
      <c r="O1078" s="132" t="s">
        <v>244</v>
      </c>
      <c r="P1078" s="132" t="s">
        <v>245</v>
      </c>
      <c r="Q1078" s="133">
        <v>313</v>
      </c>
      <c r="R1078" s="132" t="s">
        <v>279</v>
      </c>
      <c r="S1078" s="132" t="s">
        <v>11</v>
      </c>
      <c r="T1078" s="134">
        <v>42246</v>
      </c>
      <c r="U1078" s="172">
        <f t="shared" si="58"/>
        <v>2015</v>
      </c>
      <c r="V1078" s="172">
        <f t="shared" si="59"/>
        <v>8</v>
      </c>
      <c r="W1078" s="44" t="s">
        <v>291</v>
      </c>
      <c r="X1078" t="s">
        <v>892</v>
      </c>
      <c r="Y1078">
        <v>1</v>
      </c>
      <c r="AA1078" s="13">
        <f t="shared" si="57"/>
        <v>151000</v>
      </c>
      <c r="AE1078" s="43"/>
      <c r="AL1078" s="87" t="s">
        <v>819</v>
      </c>
      <c r="AM1078" s="86">
        <v>481934</v>
      </c>
    </row>
    <row r="1079" spans="13:39" hidden="1">
      <c r="M1079" s="131">
        <v>151000</v>
      </c>
      <c r="N1079" s="223">
        <v>493333</v>
      </c>
      <c r="O1079" s="132" t="s">
        <v>244</v>
      </c>
      <c r="P1079" s="132" t="s">
        <v>245</v>
      </c>
      <c r="Q1079" s="133">
        <v>314</v>
      </c>
      <c r="R1079" s="132" t="s">
        <v>279</v>
      </c>
      <c r="S1079" s="132" t="s">
        <v>11</v>
      </c>
      <c r="T1079" s="134">
        <v>42246</v>
      </c>
      <c r="U1079" s="172">
        <f t="shared" si="58"/>
        <v>2015</v>
      </c>
      <c r="V1079" s="172">
        <f t="shared" si="59"/>
        <v>8</v>
      </c>
      <c r="W1079" s="44" t="s">
        <v>291</v>
      </c>
      <c r="X1079" t="s">
        <v>892</v>
      </c>
      <c r="Y1079">
        <v>1</v>
      </c>
      <c r="AA1079" s="13">
        <f t="shared" si="57"/>
        <v>151000</v>
      </c>
      <c r="AE1079" s="43"/>
      <c r="AL1079" s="87" t="s">
        <v>819</v>
      </c>
      <c r="AM1079" s="86">
        <v>481934</v>
      </c>
    </row>
    <row r="1080" spans="13:39" hidden="1">
      <c r="M1080" s="131">
        <v>151000</v>
      </c>
      <c r="N1080" s="223">
        <v>578246</v>
      </c>
      <c r="O1080" s="132" t="s">
        <v>244</v>
      </c>
      <c r="P1080" s="132" t="s">
        <v>245</v>
      </c>
      <c r="Q1080" s="133">
        <v>1494</v>
      </c>
      <c r="R1080" s="132" t="s">
        <v>279</v>
      </c>
      <c r="S1080" s="132" t="s">
        <v>11</v>
      </c>
      <c r="T1080" s="134">
        <v>42548</v>
      </c>
      <c r="U1080" s="172">
        <f t="shared" si="58"/>
        <v>2016</v>
      </c>
      <c r="V1080" s="172">
        <f t="shared" si="59"/>
        <v>6</v>
      </c>
      <c r="W1080" s="44" t="s">
        <v>280</v>
      </c>
      <c r="X1080" t="s">
        <v>892</v>
      </c>
      <c r="Y1080">
        <v>1</v>
      </c>
      <c r="AA1080" s="13">
        <f t="shared" si="57"/>
        <v>151000</v>
      </c>
      <c r="AE1080" s="43"/>
      <c r="AL1080" s="87" t="s">
        <v>819</v>
      </c>
      <c r="AM1080" s="86">
        <v>481934</v>
      </c>
    </row>
    <row r="1081" spans="13:39" hidden="1">
      <c r="M1081" s="131">
        <v>151129</v>
      </c>
      <c r="N1081" s="223">
        <v>488377</v>
      </c>
      <c r="O1081" s="132" t="s">
        <v>244</v>
      </c>
      <c r="P1081" s="132" t="s">
        <v>245</v>
      </c>
      <c r="Q1081" s="133">
        <v>439</v>
      </c>
      <c r="R1081" s="132" t="s">
        <v>279</v>
      </c>
      <c r="S1081" s="132" t="s">
        <v>11</v>
      </c>
      <c r="T1081" s="134">
        <v>42246</v>
      </c>
      <c r="U1081" s="172">
        <f t="shared" si="58"/>
        <v>2015</v>
      </c>
      <c r="V1081" s="172">
        <f t="shared" si="59"/>
        <v>8</v>
      </c>
      <c r="W1081" s="44" t="s">
        <v>291</v>
      </c>
      <c r="X1081" t="s">
        <v>892</v>
      </c>
      <c r="Y1081">
        <v>1</v>
      </c>
      <c r="AA1081" s="13">
        <f t="shared" si="57"/>
        <v>151129</v>
      </c>
      <c r="AE1081" s="43"/>
      <c r="AL1081" s="87" t="s">
        <v>819</v>
      </c>
      <c r="AM1081" s="86">
        <v>481934</v>
      </c>
    </row>
    <row r="1082" spans="13:39" hidden="1">
      <c r="M1082" s="131">
        <v>151371</v>
      </c>
      <c r="N1082" s="223">
        <v>492837</v>
      </c>
      <c r="O1082" s="132" t="s">
        <v>244</v>
      </c>
      <c r="P1082" s="132" t="s">
        <v>245</v>
      </c>
      <c r="Q1082" s="133">
        <v>447</v>
      </c>
      <c r="R1082" s="132" t="s">
        <v>279</v>
      </c>
      <c r="S1082" s="132" t="s">
        <v>11</v>
      </c>
      <c r="T1082" s="134">
        <v>42246</v>
      </c>
      <c r="U1082" s="172">
        <f t="shared" si="58"/>
        <v>2015</v>
      </c>
      <c r="V1082" s="172">
        <f t="shared" si="59"/>
        <v>8</v>
      </c>
      <c r="W1082" s="44" t="s">
        <v>291</v>
      </c>
      <c r="X1082" t="s">
        <v>892</v>
      </c>
      <c r="Y1082">
        <v>1</v>
      </c>
      <c r="AA1082" s="13">
        <f t="shared" si="57"/>
        <v>151371</v>
      </c>
      <c r="AE1082" s="43"/>
      <c r="AL1082" s="87" t="s">
        <v>819</v>
      </c>
      <c r="AM1082" s="86">
        <v>481934</v>
      </c>
    </row>
    <row r="1083" spans="13:39" hidden="1">
      <c r="M1083" s="131">
        <v>151600</v>
      </c>
      <c r="N1083" s="223">
        <v>541796</v>
      </c>
      <c r="O1083" s="132" t="s">
        <v>244</v>
      </c>
      <c r="P1083" s="132" t="s">
        <v>245</v>
      </c>
      <c r="Q1083" s="133">
        <v>1079</v>
      </c>
      <c r="R1083" s="132" t="s">
        <v>279</v>
      </c>
      <c r="S1083" s="132" t="s">
        <v>11</v>
      </c>
      <c r="T1083" s="134">
        <v>42548</v>
      </c>
      <c r="U1083" s="172">
        <f t="shared" si="58"/>
        <v>2016</v>
      </c>
      <c r="V1083" s="172">
        <f t="shared" si="59"/>
        <v>6</v>
      </c>
      <c r="W1083" s="44" t="s">
        <v>280</v>
      </c>
      <c r="X1083" t="s">
        <v>892</v>
      </c>
      <c r="Y1083">
        <v>1</v>
      </c>
      <c r="AA1083" s="13">
        <f t="shared" si="57"/>
        <v>151600</v>
      </c>
      <c r="AE1083" s="43"/>
      <c r="AL1083" s="87" t="s">
        <v>819</v>
      </c>
      <c r="AM1083" s="86">
        <v>481934</v>
      </c>
    </row>
    <row r="1084" spans="13:39" hidden="1">
      <c r="M1084" s="131">
        <v>151730</v>
      </c>
      <c r="N1084" s="223">
        <v>487385</v>
      </c>
      <c r="O1084" s="132" t="s">
        <v>244</v>
      </c>
      <c r="P1084" s="132" t="s">
        <v>245</v>
      </c>
      <c r="Q1084" s="133">
        <v>194</v>
      </c>
      <c r="R1084" s="132" t="s">
        <v>279</v>
      </c>
      <c r="S1084" s="132" t="s">
        <v>11</v>
      </c>
      <c r="T1084" s="134">
        <v>42246</v>
      </c>
      <c r="U1084" s="172">
        <f t="shared" si="58"/>
        <v>2015</v>
      </c>
      <c r="V1084" s="172">
        <f t="shared" si="59"/>
        <v>8</v>
      </c>
      <c r="W1084" s="44" t="s">
        <v>291</v>
      </c>
      <c r="X1084" t="s">
        <v>892</v>
      </c>
      <c r="Y1084">
        <v>1</v>
      </c>
      <c r="AA1084" s="13">
        <f t="shared" si="57"/>
        <v>151730</v>
      </c>
      <c r="AE1084" s="43"/>
      <c r="AL1084" s="87" t="s">
        <v>819</v>
      </c>
      <c r="AM1084" s="86">
        <v>481934</v>
      </c>
    </row>
    <row r="1085" spans="13:39" hidden="1">
      <c r="M1085" s="131">
        <v>152000</v>
      </c>
      <c r="N1085" s="223">
        <v>479456</v>
      </c>
      <c r="O1085" s="132" t="s">
        <v>244</v>
      </c>
      <c r="P1085" s="132" t="s">
        <v>245</v>
      </c>
      <c r="Q1085" s="133">
        <v>184</v>
      </c>
      <c r="R1085" s="132" t="s">
        <v>279</v>
      </c>
      <c r="S1085" s="132" t="s">
        <v>11</v>
      </c>
      <c r="T1085" s="134">
        <v>42246</v>
      </c>
      <c r="U1085" s="172">
        <f t="shared" si="58"/>
        <v>2015</v>
      </c>
      <c r="V1085" s="172">
        <f t="shared" si="59"/>
        <v>8</v>
      </c>
      <c r="W1085" s="44" t="s">
        <v>291</v>
      </c>
      <c r="X1085" t="s">
        <v>892</v>
      </c>
      <c r="Y1085">
        <v>1</v>
      </c>
      <c r="AA1085" s="13">
        <f t="shared" si="57"/>
        <v>152000</v>
      </c>
      <c r="AE1085" s="43"/>
      <c r="AL1085" s="87" t="s">
        <v>819</v>
      </c>
      <c r="AM1085" s="86">
        <v>481934</v>
      </c>
    </row>
    <row r="1086" spans="13:39" hidden="1">
      <c r="M1086" s="131">
        <v>152000</v>
      </c>
      <c r="N1086" s="223">
        <v>490854</v>
      </c>
      <c r="O1086" s="132" t="s">
        <v>244</v>
      </c>
      <c r="P1086" s="132" t="s">
        <v>245</v>
      </c>
      <c r="Q1086" s="133">
        <v>525</v>
      </c>
      <c r="R1086" s="132" t="s">
        <v>279</v>
      </c>
      <c r="S1086" s="132" t="s">
        <v>11</v>
      </c>
      <c r="T1086" s="134">
        <v>42246</v>
      </c>
      <c r="U1086" s="172">
        <f t="shared" si="58"/>
        <v>2015</v>
      </c>
      <c r="V1086" s="172">
        <f t="shared" si="59"/>
        <v>8</v>
      </c>
      <c r="W1086" s="44" t="s">
        <v>291</v>
      </c>
      <c r="X1086" t="s">
        <v>892</v>
      </c>
      <c r="Y1086">
        <v>1</v>
      </c>
      <c r="AA1086" s="13">
        <f t="shared" si="57"/>
        <v>152000</v>
      </c>
      <c r="AE1086" s="43"/>
      <c r="AL1086" s="87" t="s">
        <v>819</v>
      </c>
      <c r="AM1086" s="86">
        <v>481934</v>
      </c>
    </row>
    <row r="1087" spans="13:39" hidden="1">
      <c r="M1087" s="131">
        <v>152000</v>
      </c>
      <c r="N1087" s="223">
        <v>493333</v>
      </c>
      <c r="O1087" s="132" t="s">
        <v>244</v>
      </c>
      <c r="P1087" s="132" t="s">
        <v>245</v>
      </c>
      <c r="Q1087" s="133">
        <v>523</v>
      </c>
      <c r="R1087" s="132" t="s">
        <v>279</v>
      </c>
      <c r="S1087" s="132" t="s">
        <v>11</v>
      </c>
      <c r="T1087" s="134">
        <v>42246</v>
      </c>
      <c r="U1087" s="172">
        <f t="shared" si="58"/>
        <v>2015</v>
      </c>
      <c r="V1087" s="172">
        <f t="shared" si="59"/>
        <v>8</v>
      </c>
      <c r="W1087" s="44" t="s">
        <v>291</v>
      </c>
      <c r="X1087" t="s">
        <v>892</v>
      </c>
      <c r="Y1087">
        <v>1</v>
      </c>
      <c r="AA1087" s="13">
        <f t="shared" si="57"/>
        <v>152000</v>
      </c>
      <c r="AE1087" s="43"/>
      <c r="AL1087" s="87" t="s">
        <v>819</v>
      </c>
      <c r="AM1087" s="86">
        <v>481934</v>
      </c>
    </row>
    <row r="1088" spans="13:39" hidden="1">
      <c r="M1088" s="131">
        <v>152300</v>
      </c>
      <c r="N1088" s="223">
        <v>491845</v>
      </c>
      <c r="O1088" s="132" t="s">
        <v>244</v>
      </c>
      <c r="P1088" s="132" t="s">
        <v>245</v>
      </c>
      <c r="Q1088" s="133">
        <v>414</v>
      </c>
      <c r="R1088" s="132" t="s">
        <v>279</v>
      </c>
      <c r="S1088" s="132" t="s">
        <v>11</v>
      </c>
      <c r="T1088" s="134">
        <v>42246</v>
      </c>
      <c r="U1088" s="172">
        <f t="shared" si="58"/>
        <v>2015</v>
      </c>
      <c r="V1088" s="172">
        <f t="shared" si="59"/>
        <v>8</v>
      </c>
      <c r="W1088" s="44" t="s">
        <v>291</v>
      </c>
      <c r="X1088" t="s">
        <v>892</v>
      </c>
      <c r="Y1088">
        <v>1</v>
      </c>
      <c r="AA1088" s="13">
        <f t="shared" si="57"/>
        <v>152300</v>
      </c>
      <c r="AE1088" s="43"/>
      <c r="AL1088" s="87" t="s">
        <v>819</v>
      </c>
      <c r="AM1088" s="86">
        <v>481934</v>
      </c>
    </row>
    <row r="1089" spans="13:39" hidden="1">
      <c r="M1089" s="131">
        <v>152377</v>
      </c>
      <c r="N1089" s="223">
        <v>518608</v>
      </c>
      <c r="O1089" s="132" t="s">
        <v>244</v>
      </c>
      <c r="P1089" s="132" t="s">
        <v>245</v>
      </c>
      <c r="Q1089" s="133">
        <v>137</v>
      </c>
      <c r="R1089" s="132" t="s">
        <v>279</v>
      </c>
      <c r="S1089" s="132" t="s">
        <v>11</v>
      </c>
      <c r="T1089" s="134">
        <v>42246</v>
      </c>
      <c r="U1089" s="172">
        <f t="shared" si="58"/>
        <v>2015</v>
      </c>
      <c r="V1089" s="172">
        <f t="shared" si="59"/>
        <v>8</v>
      </c>
      <c r="W1089" s="44" t="s">
        <v>291</v>
      </c>
      <c r="X1089" t="s">
        <v>892</v>
      </c>
      <c r="Y1089">
        <v>1</v>
      </c>
      <c r="AA1089" s="13">
        <f t="shared" si="57"/>
        <v>152377</v>
      </c>
      <c r="AE1089" s="43"/>
      <c r="AL1089" s="87" t="s">
        <v>819</v>
      </c>
      <c r="AM1089" s="86">
        <v>482160</v>
      </c>
    </row>
    <row r="1090" spans="13:39" hidden="1">
      <c r="M1090" s="131">
        <v>152479</v>
      </c>
      <c r="N1090" s="223">
        <v>546921</v>
      </c>
      <c r="O1090" s="132" t="s">
        <v>244</v>
      </c>
      <c r="P1090" s="132" t="s">
        <v>245</v>
      </c>
      <c r="Q1090" s="133">
        <v>1186</v>
      </c>
      <c r="R1090" s="132" t="s">
        <v>279</v>
      </c>
      <c r="S1090" s="132" t="s">
        <v>11</v>
      </c>
      <c r="T1090" s="134">
        <v>42548</v>
      </c>
      <c r="U1090" s="172">
        <f t="shared" si="58"/>
        <v>2016</v>
      </c>
      <c r="V1090" s="172">
        <f t="shared" si="59"/>
        <v>6</v>
      </c>
      <c r="W1090" s="44" t="s">
        <v>280</v>
      </c>
      <c r="X1090" t="s">
        <v>892</v>
      </c>
      <c r="Y1090">
        <v>1</v>
      </c>
      <c r="AA1090" s="13">
        <f t="shared" si="57"/>
        <v>152479</v>
      </c>
      <c r="AE1090" s="43"/>
      <c r="AL1090" s="87" t="s">
        <v>819</v>
      </c>
      <c r="AM1090" s="86">
        <v>482430</v>
      </c>
    </row>
    <row r="1091" spans="13:39" hidden="1">
      <c r="M1091" s="131">
        <v>152500</v>
      </c>
      <c r="N1091" s="223">
        <v>481934</v>
      </c>
      <c r="O1091" s="132" t="s">
        <v>244</v>
      </c>
      <c r="P1091" s="132" t="s">
        <v>245</v>
      </c>
      <c r="Q1091" s="133">
        <v>159</v>
      </c>
      <c r="R1091" s="132" t="s">
        <v>279</v>
      </c>
      <c r="S1091" s="132" t="s">
        <v>11</v>
      </c>
      <c r="T1091" s="134">
        <v>42246</v>
      </c>
      <c r="U1091" s="172">
        <f t="shared" si="58"/>
        <v>2015</v>
      </c>
      <c r="V1091" s="172">
        <f t="shared" si="59"/>
        <v>8</v>
      </c>
      <c r="W1091" s="44" t="s">
        <v>291</v>
      </c>
      <c r="X1091" t="s">
        <v>892</v>
      </c>
      <c r="Y1091">
        <v>1</v>
      </c>
      <c r="AA1091" s="13">
        <f t="shared" si="57"/>
        <v>152500</v>
      </c>
      <c r="AE1091" s="43"/>
      <c r="AL1091" s="87" t="s">
        <v>819</v>
      </c>
      <c r="AM1091" s="86">
        <v>482430</v>
      </c>
    </row>
    <row r="1092" spans="13:39" hidden="1">
      <c r="M1092" s="131">
        <v>152500</v>
      </c>
      <c r="N1092" s="223">
        <v>487385</v>
      </c>
      <c r="O1092" s="132" t="s">
        <v>244</v>
      </c>
      <c r="P1092" s="132" t="s">
        <v>245</v>
      </c>
      <c r="Q1092" s="133">
        <v>191</v>
      </c>
      <c r="R1092" s="132" t="s">
        <v>279</v>
      </c>
      <c r="S1092" s="132" t="s">
        <v>11</v>
      </c>
      <c r="T1092" s="134">
        <v>42246</v>
      </c>
      <c r="U1092" s="172">
        <f t="shared" si="58"/>
        <v>2015</v>
      </c>
      <c r="V1092" s="172">
        <f t="shared" si="59"/>
        <v>8</v>
      </c>
      <c r="W1092" s="44" t="s">
        <v>291</v>
      </c>
      <c r="X1092" t="s">
        <v>892</v>
      </c>
      <c r="Y1092">
        <v>1</v>
      </c>
      <c r="AA1092" s="13">
        <f t="shared" ref="AA1092:AA1155" si="60">IF(M1092&lt;30000,Y1092*100*M1092*(1-$L$1)-$L$2*Y1092,M1092)</f>
        <v>152500</v>
      </c>
      <c r="AE1092" s="43"/>
      <c r="AL1092" s="87" t="s">
        <v>819</v>
      </c>
      <c r="AM1092" s="86">
        <v>482430</v>
      </c>
    </row>
    <row r="1093" spans="13:39" hidden="1">
      <c r="M1093" s="131">
        <v>153010</v>
      </c>
      <c r="N1093" s="223">
        <v>493333</v>
      </c>
      <c r="O1093" s="132" t="s">
        <v>244</v>
      </c>
      <c r="P1093" s="132" t="s">
        <v>245</v>
      </c>
      <c r="Q1093" s="133">
        <v>97</v>
      </c>
      <c r="R1093" s="132" t="s">
        <v>279</v>
      </c>
      <c r="S1093" s="132" t="s">
        <v>11</v>
      </c>
      <c r="T1093" s="134">
        <v>42246</v>
      </c>
      <c r="U1093" s="172">
        <f t="shared" si="58"/>
        <v>2015</v>
      </c>
      <c r="V1093" s="172">
        <f t="shared" si="59"/>
        <v>8</v>
      </c>
      <c r="W1093" s="44" t="s">
        <v>291</v>
      </c>
      <c r="X1093" t="s">
        <v>892</v>
      </c>
      <c r="Y1093">
        <v>1</v>
      </c>
      <c r="AA1093" s="13">
        <f t="shared" si="60"/>
        <v>153010</v>
      </c>
      <c r="AE1093" s="43"/>
      <c r="AL1093" s="87" t="s">
        <v>819</v>
      </c>
      <c r="AM1093" s="86">
        <v>482430</v>
      </c>
    </row>
    <row r="1094" spans="13:39" hidden="1">
      <c r="M1094" s="131">
        <v>154093</v>
      </c>
      <c r="N1094" s="223">
        <v>550908</v>
      </c>
      <c r="O1094" s="132" t="s">
        <v>244</v>
      </c>
      <c r="P1094" s="132" t="s">
        <v>245</v>
      </c>
      <c r="Q1094" s="133">
        <v>1093</v>
      </c>
      <c r="R1094" s="132" t="s">
        <v>279</v>
      </c>
      <c r="S1094" s="132" t="s">
        <v>11</v>
      </c>
      <c r="T1094" s="134">
        <v>42548</v>
      </c>
      <c r="U1094" s="172">
        <f t="shared" si="58"/>
        <v>2016</v>
      </c>
      <c r="V1094" s="172">
        <f t="shared" si="59"/>
        <v>6</v>
      </c>
      <c r="W1094" s="44" t="s">
        <v>280</v>
      </c>
      <c r="X1094" t="s">
        <v>892</v>
      </c>
      <c r="Y1094">
        <v>1</v>
      </c>
      <c r="AA1094" s="13">
        <f t="shared" si="60"/>
        <v>154093</v>
      </c>
      <c r="AE1094" s="43"/>
      <c r="AL1094" s="87" t="s">
        <v>819</v>
      </c>
      <c r="AM1094" s="86">
        <v>482430</v>
      </c>
    </row>
    <row r="1095" spans="13:39" hidden="1">
      <c r="M1095" s="131">
        <v>154511</v>
      </c>
      <c r="N1095" s="223">
        <v>493828</v>
      </c>
      <c r="O1095" s="132" t="s">
        <v>244</v>
      </c>
      <c r="P1095" s="132" t="s">
        <v>245</v>
      </c>
      <c r="Q1095" s="133">
        <v>298</v>
      </c>
      <c r="R1095" s="132" t="s">
        <v>279</v>
      </c>
      <c r="S1095" s="132" t="s">
        <v>11</v>
      </c>
      <c r="T1095" s="134">
        <v>42246</v>
      </c>
      <c r="U1095" s="172">
        <f t="shared" ref="U1095:U1158" si="61">YEAR($T1095)</f>
        <v>2015</v>
      </c>
      <c r="V1095" s="172">
        <f t="shared" ref="V1095:V1158" si="62">MONTH($T1095)</f>
        <v>8</v>
      </c>
      <c r="W1095" s="44" t="s">
        <v>291</v>
      </c>
      <c r="X1095" t="s">
        <v>892</v>
      </c>
      <c r="Y1095">
        <v>1</v>
      </c>
      <c r="AA1095" s="13">
        <f t="shared" si="60"/>
        <v>154511</v>
      </c>
      <c r="AE1095" s="43"/>
      <c r="AL1095" s="87" t="s">
        <v>819</v>
      </c>
      <c r="AM1095" s="86">
        <v>482430</v>
      </c>
    </row>
    <row r="1096" spans="13:39" hidden="1">
      <c r="M1096" s="131">
        <v>155500</v>
      </c>
      <c r="N1096" s="223">
        <v>492837</v>
      </c>
      <c r="O1096" s="132" t="s">
        <v>244</v>
      </c>
      <c r="P1096" s="132" t="s">
        <v>245</v>
      </c>
      <c r="Q1096" s="133">
        <v>155</v>
      </c>
      <c r="R1096" s="132" t="s">
        <v>279</v>
      </c>
      <c r="S1096" s="132" t="s">
        <v>11</v>
      </c>
      <c r="T1096" s="134">
        <v>42246</v>
      </c>
      <c r="U1096" s="172">
        <f t="shared" si="61"/>
        <v>2015</v>
      </c>
      <c r="V1096" s="172">
        <f t="shared" si="62"/>
        <v>8</v>
      </c>
      <c r="W1096" s="44" t="s">
        <v>291</v>
      </c>
      <c r="X1096" t="s">
        <v>892</v>
      </c>
      <c r="Y1096">
        <v>1</v>
      </c>
      <c r="AA1096" s="13">
        <f t="shared" si="60"/>
        <v>155500</v>
      </c>
      <c r="AE1096" s="43"/>
      <c r="AL1096" s="87" t="s">
        <v>819</v>
      </c>
      <c r="AM1096" s="86">
        <v>482430</v>
      </c>
    </row>
    <row r="1097" spans="13:39" hidden="1">
      <c r="M1097" s="131">
        <v>156000</v>
      </c>
      <c r="N1097" s="223">
        <v>492837</v>
      </c>
      <c r="O1097" s="132" t="s">
        <v>244</v>
      </c>
      <c r="P1097" s="132" t="s">
        <v>245</v>
      </c>
      <c r="Q1097" s="133">
        <v>282</v>
      </c>
      <c r="R1097" s="132" t="s">
        <v>279</v>
      </c>
      <c r="S1097" s="132" t="s">
        <v>11</v>
      </c>
      <c r="T1097" s="134">
        <v>42246</v>
      </c>
      <c r="U1097" s="172">
        <f t="shared" si="61"/>
        <v>2015</v>
      </c>
      <c r="V1097" s="172">
        <f t="shared" si="62"/>
        <v>8</v>
      </c>
      <c r="W1097" s="44" t="s">
        <v>291</v>
      </c>
      <c r="X1097" t="s">
        <v>892</v>
      </c>
      <c r="Y1097">
        <v>1</v>
      </c>
      <c r="AA1097" s="13">
        <f t="shared" si="60"/>
        <v>156000</v>
      </c>
      <c r="AE1097" s="43"/>
      <c r="AL1097" s="87" t="s">
        <v>819</v>
      </c>
      <c r="AM1097" s="86">
        <v>482430</v>
      </c>
    </row>
    <row r="1098" spans="13:39" hidden="1">
      <c r="M1098" s="131">
        <v>156000</v>
      </c>
      <c r="N1098" s="223">
        <v>576536</v>
      </c>
      <c r="O1098" s="132" t="s">
        <v>244</v>
      </c>
      <c r="P1098" s="132" t="s">
        <v>245</v>
      </c>
      <c r="Q1098" s="133">
        <v>1332</v>
      </c>
      <c r="R1098" s="132" t="s">
        <v>279</v>
      </c>
      <c r="S1098" s="132" t="s">
        <v>11</v>
      </c>
      <c r="T1098" s="134">
        <v>42548</v>
      </c>
      <c r="U1098" s="172">
        <f t="shared" si="61"/>
        <v>2016</v>
      </c>
      <c r="V1098" s="172">
        <f t="shared" si="62"/>
        <v>6</v>
      </c>
      <c r="W1098" s="44" t="s">
        <v>280</v>
      </c>
      <c r="X1098" t="s">
        <v>892</v>
      </c>
      <c r="Y1098">
        <v>1</v>
      </c>
      <c r="AA1098" s="13">
        <f t="shared" si="60"/>
        <v>156000</v>
      </c>
      <c r="AE1098" s="43"/>
      <c r="AL1098" s="87" t="s">
        <v>819</v>
      </c>
      <c r="AM1098" s="86">
        <v>482430</v>
      </c>
    </row>
    <row r="1099" spans="13:39" hidden="1">
      <c r="M1099" s="131">
        <v>156051</v>
      </c>
      <c r="N1099" s="223">
        <v>530323</v>
      </c>
      <c r="O1099" s="132" t="s">
        <v>244</v>
      </c>
      <c r="P1099" s="132" t="s">
        <v>245</v>
      </c>
      <c r="Q1099" s="133">
        <v>650</v>
      </c>
      <c r="R1099" s="132" t="s">
        <v>279</v>
      </c>
      <c r="S1099" s="132" t="s">
        <v>11</v>
      </c>
      <c r="T1099" s="134">
        <v>42246</v>
      </c>
      <c r="U1099" s="172">
        <f t="shared" si="61"/>
        <v>2015</v>
      </c>
      <c r="V1099" s="172">
        <f t="shared" si="62"/>
        <v>8</v>
      </c>
      <c r="W1099" s="44" t="s">
        <v>291</v>
      </c>
      <c r="X1099" t="s">
        <v>892</v>
      </c>
      <c r="Y1099">
        <v>1</v>
      </c>
      <c r="AA1099" s="13">
        <f t="shared" si="60"/>
        <v>156051</v>
      </c>
      <c r="AE1099" s="43"/>
      <c r="AL1099" s="87" t="s">
        <v>819</v>
      </c>
      <c r="AM1099" s="86">
        <v>482506</v>
      </c>
    </row>
    <row r="1100" spans="13:39" hidden="1">
      <c r="M1100" s="131">
        <v>157000</v>
      </c>
      <c r="N1100" s="223">
        <v>488873</v>
      </c>
      <c r="O1100" s="132" t="s">
        <v>244</v>
      </c>
      <c r="P1100" s="132" t="s">
        <v>245</v>
      </c>
      <c r="Q1100" s="133">
        <v>440</v>
      </c>
      <c r="R1100" s="132" t="s">
        <v>279</v>
      </c>
      <c r="S1100" s="132" t="s">
        <v>11</v>
      </c>
      <c r="T1100" s="134">
        <v>42246</v>
      </c>
      <c r="U1100" s="172">
        <f t="shared" si="61"/>
        <v>2015</v>
      </c>
      <c r="V1100" s="172">
        <f t="shared" si="62"/>
        <v>8</v>
      </c>
      <c r="W1100" s="44" t="s">
        <v>291</v>
      </c>
      <c r="X1100" t="s">
        <v>892</v>
      </c>
      <c r="Y1100">
        <v>1</v>
      </c>
      <c r="AA1100" s="13">
        <f t="shared" si="60"/>
        <v>157000</v>
      </c>
      <c r="AE1100" s="43"/>
      <c r="AL1100" s="87" t="s">
        <v>819</v>
      </c>
      <c r="AM1100" s="86">
        <v>482506</v>
      </c>
    </row>
    <row r="1101" spans="13:39" hidden="1">
      <c r="M1101" s="131">
        <v>157700</v>
      </c>
      <c r="N1101" s="223">
        <v>696137</v>
      </c>
      <c r="O1101" s="132" t="s">
        <v>244</v>
      </c>
      <c r="P1101" s="132" t="s">
        <v>245</v>
      </c>
      <c r="Q1101" s="133">
        <v>1206</v>
      </c>
      <c r="R1101" s="132" t="s">
        <v>279</v>
      </c>
      <c r="S1101" s="132" t="s">
        <v>11</v>
      </c>
      <c r="T1101" s="134">
        <v>42548</v>
      </c>
      <c r="U1101" s="172">
        <f t="shared" si="61"/>
        <v>2016</v>
      </c>
      <c r="V1101" s="172">
        <f t="shared" si="62"/>
        <v>6</v>
      </c>
      <c r="W1101" s="44" t="s">
        <v>280</v>
      </c>
      <c r="X1101" t="s">
        <v>892</v>
      </c>
      <c r="Y1101">
        <v>1</v>
      </c>
      <c r="AA1101" s="13">
        <f t="shared" si="60"/>
        <v>157700</v>
      </c>
      <c r="AE1101" s="43"/>
      <c r="AL1101" s="87" t="s">
        <v>819</v>
      </c>
      <c r="AM1101" s="86">
        <v>482731</v>
      </c>
    </row>
    <row r="1102" spans="13:39" hidden="1">
      <c r="M1102" s="131">
        <v>157953</v>
      </c>
      <c r="N1102" s="223">
        <v>486394</v>
      </c>
      <c r="O1102" s="132" t="s">
        <v>244</v>
      </c>
      <c r="P1102" s="132" t="s">
        <v>245</v>
      </c>
      <c r="Q1102" s="133">
        <v>395</v>
      </c>
      <c r="R1102" s="132" t="s">
        <v>279</v>
      </c>
      <c r="S1102" s="132" t="s">
        <v>11</v>
      </c>
      <c r="T1102" s="134">
        <v>42246</v>
      </c>
      <c r="U1102" s="172">
        <f t="shared" si="61"/>
        <v>2015</v>
      </c>
      <c r="V1102" s="172">
        <f t="shared" si="62"/>
        <v>8</v>
      </c>
      <c r="W1102" s="44" t="s">
        <v>291</v>
      </c>
      <c r="X1102" t="s">
        <v>892</v>
      </c>
      <c r="Y1102">
        <v>1</v>
      </c>
      <c r="AA1102" s="13">
        <f t="shared" si="60"/>
        <v>157953</v>
      </c>
      <c r="AE1102" s="43"/>
      <c r="AL1102" s="87" t="s">
        <v>819</v>
      </c>
      <c r="AM1102" s="86">
        <v>482731</v>
      </c>
    </row>
    <row r="1103" spans="13:39" hidden="1">
      <c r="M1103" s="131">
        <v>158000</v>
      </c>
      <c r="N1103" s="223">
        <v>491845</v>
      </c>
      <c r="O1103" s="132" t="s">
        <v>244</v>
      </c>
      <c r="P1103" s="132" t="s">
        <v>245</v>
      </c>
      <c r="Q1103" s="133">
        <v>457</v>
      </c>
      <c r="R1103" s="132" t="s">
        <v>279</v>
      </c>
      <c r="S1103" s="132" t="s">
        <v>11</v>
      </c>
      <c r="T1103" s="134">
        <v>42246</v>
      </c>
      <c r="U1103" s="172">
        <f t="shared" si="61"/>
        <v>2015</v>
      </c>
      <c r="V1103" s="172">
        <f t="shared" si="62"/>
        <v>8</v>
      </c>
      <c r="W1103" s="44" t="s">
        <v>291</v>
      </c>
      <c r="X1103" t="s">
        <v>892</v>
      </c>
      <c r="Y1103">
        <v>1</v>
      </c>
      <c r="AA1103" s="13">
        <f t="shared" si="60"/>
        <v>158000</v>
      </c>
      <c r="AE1103" s="43"/>
      <c r="AL1103" s="87" t="s">
        <v>819</v>
      </c>
      <c r="AM1103" s="86">
        <v>482925</v>
      </c>
    </row>
    <row r="1104" spans="13:39" hidden="1">
      <c r="M1104" s="131">
        <v>158980</v>
      </c>
      <c r="N1104" s="223">
        <v>542891</v>
      </c>
      <c r="O1104" s="132" t="s">
        <v>244</v>
      </c>
      <c r="P1104" s="132" t="s">
        <v>245</v>
      </c>
      <c r="Q1104" s="133">
        <v>493</v>
      </c>
      <c r="R1104" s="132" t="s">
        <v>279</v>
      </c>
      <c r="S1104" s="132" t="s">
        <v>11</v>
      </c>
      <c r="T1104" s="134">
        <v>42246</v>
      </c>
      <c r="U1104" s="172">
        <f t="shared" si="61"/>
        <v>2015</v>
      </c>
      <c r="V1104" s="172">
        <f t="shared" si="62"/>
        <v>8</v>
      </c>
      <c r="W1104" s="44" t="s">
        <v>291</v>
      </c>
      <c r="X1104" t="s">
        <v>892</v>
      </c>
      <c r="Y1104">
        <v>1</v>
      </c>
      <c r="AA1104" s="13">
        <f t="shared" si="60"/>
        <v>158980</v>
      </c>
      <c r="AE1104" s="43"/>
      <c r="AL1104" s="87" t="s">
        <v>819</v>
      </c>
      <c r="AM1104" s="86">
        <v>482925</v>
      </c>
    </row>
    <row r="1105" spans="13:39" hidden="1">
      <c r="M1105" s="131">
        <v>159794</v>
      </c>
      <c r="N1105" s="223">
        <v>491845</v>
      </c>
      <c r="O1105" s="132" t="s">
        <v>244</v>
      </c>
      <c r="P1105" s="132" t="s">
        <v>245</v>
      </c>
      <c r="Q1105" s="133">
        <v>11</v>
      </c>
      <c r="R1105" s="132" t="s">
        <v>279</v>
      </c>
      <c r="S1105" s="132" t="s">
        <v>11</v>
      </c>
      <c r="T1105" s="134">
        <v>42246</v>
      </c>
      <c r="U1105" s="172">
        <f t="shared" si="61"/>
        <v>2015</v>
      </c>
      <c r="V1105" s="172">
        <f t="shared" si="62"/>
        <v>8</v>
      </c>
      <c r="W1105" s="44" t="s">
        <v>291</v>
      </c>
      <c r="X1105" t="s">
        <v>892</v>
      </c>
      <c r="Y1105">
        <v>1</v>
      </c>
      <c r="AA1105" s="13">
        <f t="shared" si="60"/>
        <v>159794</v>
      </c>
      <c r="AE1105" s="43"/>
      <c r="AL1105" s="87" t="s">
        <v>819</v>
      </c>
      <c r="AM1105" s="86">
        <v>482925</v>
      </c>
    </row>
    <row r="1106" spans="13:39" hidden="1">
      <c r="M1106" s="131">
        <v>160000</v>
      </c>
      <c r="N1106" s="223">
        <v>474500</v>
      </c>
      <c r="O1106" s="132" t="s">
        <v>244</v>
      </c>
      <c r="P1106" s="132" t="s">
        <v>245</v>
      </c>
      <c r="Q1106" s="133">
        <v>236</v>
      </c>
      <c r="R1106" s="132" t="s">
        <v>279</v>
      </c>
      <c r="S1106" s="132" t="s">
        <v>11</v>
      </c>
      <c r="T1106" s="134">
        <v>42246</v>
      </c>
      <c r="U1106" s="172">
        <f t="shared" si="61"/>
        <v>2015</v>
      </c>
      <c r="V1106" s="172">
        <f t="shared" si="62"/>
        <v>8</v>
      </c>
      <c r="W1106" s="44" t="s">
        <v>291</v>
      </c>
      <c r="X1106" t="s">
        <v>892</v>
      </c>
      <c r="Y1106">
        <v>1</v>
      </c>
      <c r="AA1106" s="13">
        <f t="shared" si="60"/>
        <v>160000</v>
      </c>
      <c r="AE1106" s="43"/>
      <c r="AL1106" s="87" t="s">
        <v>819</v>
      </c>
      <c r="AM1106" s="86">
        <v>482925</v>
      </c>
    </row>
    <row r="1107" spans="13:39" hidden="1">
      <c r="M1107" s="131">
        <v>160000</v>
      </c>
      <c r="N1107" s="223">
        <v>490854</v>
      </c>
      <c r="O1107" s="132" t="s">
        <v>244</v>
      </c>
      <c r="P1107" s="132" t="s">
        <v>245</v>
      </c>
      <c r="Q1107" s="133">
        <v>453</v>
      </c>
      <c r="R1107" s="132" t="s">
        <v>279</v>
      </c>
      <c r="S1107" s="132" t="s">
        <v>11</v>
      </c>
      <c r="T1107" s="134">
        <v>42246</v>
      </c>
      <c r="U1107" s="172">
        <f t="shared" si="61"/>
        <v>2015</v>
      </c>
      <c r="V1107" s="172">
        <f t="shared" si="62"/>
        <v>8</v>
      </c>
      <c r="W1107" s="44" t="s">
        <v>291</v>
      </c>
      <c r="X1107" t="s">
        <v>892</v>
      </c>
      <c r="Y1107">
        <v>1</v>
      </c>
      <c r="AA1107" s="13">
        <f t="shared" si="60"/>
        <v>160000</v>
      </c>
      <c r="AE1107" s="43"/>
      <c r="AL1107" s="87" t="s">
        <v>819</v>
      </c>
      <c r="AM1107" s="86">
        <v>482925</v>
      </c>
    </row>
    <row r="1108" spans="13:39" hidden="1">
      <c r="M1108" s="131">
        <v>160650</v>
      </c>
      <c r="N1108" s="223">
        <v>493828</v>
      </c>
      <c r="O1108" s="132" t="s">
        <v>244</v>
      </c>
      <c r="P1108" s="132" t="s">
        <v>245</v>
      </c>
      <c r="Q1108" s="133">
        <v>135</v>
      </c>
      <c r="R1108" s="132" t="s">
        <v>279</v>
      </c>
      <c r="S1108" s="132" t="s">
        <v>11</v>
      </c>
      <c r="T1108" s="134">
        <v>42246</v>
      </c>
      <c r="U1108" s="172">
        <f t="shared" si="61"/>
        <v>2015</v>
      </c>
      <c r="V1108" s="172">
        <f t="shared" si="62"/>
        <v>8</v>
      </c>
      <c r="W1108" s="44" t="s">
        <v>291</v>
      </c>
      <c r="X1108" t="s">
        <v>892</v>
      </c>
      <c r="Y1108">
        <v>1</v>
      </c>
      <c r="AA1108" s="13">
        <f t="shared" si="60"/>
        <v>160650</v>
      </c>
      <c r="AE1108" s="43"/>
      <c r="AL1108" s="87" t="s">
        <v>819</v>
      </c>
      <c r="AM1108" s="86">
        <v>483300</v>
      </c>
    </row>
    <row r="1109" spans="13:39" hidden="1">
      <c r="M1109" s="131">
        <v>160900</v>
      </c>
      <c r="N1109" s="223">
        <v>542935</v>
      </c>
      <c r="O1109" s="132" t="s">
        <v>244</v>
      </c>
      <c r="P1109" s="132" t="s">
        <v>245</v>
      </c>
      <c r="Q1109" s="133">
        <v>1225</v>
      </c>
      <c r="R1109" s="132" t="s">
        <v>279</v>
      </c>
      <c r="S1109" s="132" t="s">
        <v>11</v>
      </c>
      <c r="T1109" s="134">
        <v>42548</v>
      </c>
      <c r="U1109" s="172">
        <f t="shared" si="61"/>
        <v>2016</v>
      </c>
      <c r="V1109" s="172">
        <f t="shared" si="62"/>
        <v>6</v>
      </c>
      <c r="W1109" s="44" t="s">
        <v>280</v>
      </c>
      <c r="X1109" t="s">
        <v>892</v>
      </c>
      <c r="Y1109">
        <v>1</v>
      </c>
      <c r="AA1109" s="13">
        <f t="shared" si="60"/>
        <v>160900</v>
      </c>
      <c r="AE1109" s="43"/>
      <c r="AL1109" s="87" t="s">
        <v>819</v>
      </c>
      <c r="AM1109" s="86">
        <v>483300</v>
      </c>
    </row>
    <row r="1110" spans="13:39" hidden="1">
      <c r="M1110" s="131">
        <v>160999</v>
      </c>
      <c r="N1110" s="223">
        <v>474500</v>
      </c>
      <c r="O1110" s="132" t="s">
        <v>244</v>
      </c>
      <c r="P1110" s="132" t="s">
        <v>245</v>
      </c>
      <c r="Q1110" s="133">
        <v>517</v>
      </c>
      <c r="R1110" s="132" t="s">
        <v>279</v>
      </c>
      <c r="S1110" s="132" t="s">
        <v>11</v>
      </c>
      <c r="T1110" s="134">
        <v>42246</v>
      </c>
      <c r="U1110" s="172">
        <f t="shared" si="61"/>
        <v>2015</v>
      </c>
      <c r="V1110" s="172">
        <f t="shared" si="62"/>
        <v>8</v>
      </c>
      <c r="W1110" s="44" t="s">
        <v>291</v>
      </c>
      <c r="X1110" t="s">
        <v>892</v>
      </c>
      <c r="Y1110">
        <v>1</v>
      </c>
      <c r="AA1110" s="13">
        <f t="shared" si="60"/>
        <v>160999</v>
      </c>
      <c r="AE1110" s="43"/>
      <c r="AL1110" s="87" t="s">
        <v>819</v>
      </c>
      <c r="AM1110" s="86">
        <v>483421</v>
      </c>
    </row>
    <row r="1111" spans="13:39" hidden="1">
      <c r="M1111" s="131">
        <v>161000</v>
      </c>
      <c r="N1111" s="223">
        <v>478960</v>
      </c>
      <c r="O1111" s="132" t="s">
        <v>244</v>
      </c>
      <c r="P1111" s="132" t="s">
        <v>245</v>
      </c>
      <c r="Q1111" s="133">
        <v>516</v>
      </c>
      <c r="R1111" s="132" t="s">
        <v>279</v>
      </c>
      <c r="S1111" s="132" t="s">
        <v>11</v>
      </c>
      <c r="T1111" s="134">
        <v>42246</v>
      </c>
      <c r="U1111" s="172">
        <f t="shared" si="61"/>
        <v>2015</v>
      </c>
      <c r="V1111" s="172">
        <f t="shared" si="62"/>
        <v>8</v>
      </c>
      <c r="W1111" s="44" t="s">
        <v>291</v>
      </c>
      <c r="X1111" t="s">
        <v>892</v>
      </c>
      <c r="Y1111">
        <v>1</v>
      </c>
      <c r="AA1111" s="13">
        <f t="shared" si="60"/>
        <v>161000</v>
      </c>
      <c r="AE1111" s="43"/>
      <c r="AL1111" s="87" t="s">
        <v>819</v>
      </c>
      <c r="AM1111" s="86">
        <v>483421</v>
      </c>
    </row>
    <row r="1112" spans="13:39" hidden="1">
      <c r="M1112" s="131">
        <v>161345</v>
      </c>
      <c r="N1112" s="223">
        <v>552047</v>
      </c>
      <c r="O1112" s="132" t="s">
        <v>244</v>
      </c>
      <c r="P1112" s="132" t="s">
        <v>245</v>
      </c>
      <c r="Q1112" s="133">
        <v>1285</v>
      </c>
      <c r="R1112" s="132" t="s">
        <v>279</v>
      </c>
      <c r="S1112" s="132" t="s">
        <v>11</v>
      </c>
      <c r="T1112" s="134">
        <v>42548</v>
      </c>
      <c r="U1112" s="172">
        <f t="shared" si="61"/>
        <v>2016</v>
      </c>
      <c r="V1112" s="172">
        <f t="shared" si="62"/>
        <v>6</v>
      </c>
      <c r="W1112" s="44" t="s">
        <v>280</v>
      </c>
      <c r="X1112" t="s">
        <v>892</v>
      </c>
      <c r="Y1112">
        <v>1</v>
      </c>
      <c r="AA1112" s="13">
        <f t="shared" si="60"/>
        <v>161345</v>
      </c>
      <c r="AE1112" s="43"/>
      <c r="AL1112" s="87" t="s">
        <v>819</v>
      </c>
      <c r="AM1112" s="86">
        <v>483421</v>
      </c>
    </row>
    <row r="1113" spans="13:39" hidden="1">
      <c r="M1113" s="131">
        <v>161500</v>
      </c>
      <c r="N1113" s="223">
        <v>475987</v>
      </c>
      <c r="O1113" s="132" t="s">
        <v>244</v>
      </c>
      <c r="P1113" s="132" t="s">
        <v>245</v>
      </c>
      <c r="Q1113" s="133">
        <v>429</v>
      </c>
      <c r="R1113" s="132" t="s">
        <v>279</v>
      </c>
      <c r="S1113" s="132" t="s">
        <v>11</v>
      </c>
      <c r="T1113" s="134">
        <v>42246</v>
      </c>
      <c r="U1113" s="172">
        <f t="shared" si="61"/>
        <v>2015</v>
      </c>
      <c r="V1113" s="172">
        <f t="shared" si="62"/>
        <v>8</v>
      </c>
      <c r="W1113" s="44" t="s">
        <v>291</v>
      </c>
      <c r="X1113" t="s">
        <v>892</v>
      </c>
      <c r="Y1113">
        <v>1</v>
      </c>
      <c r="AA1113" s="13">
        <f t="shared" si="60"/>
        <v>161500</v>
      </c>
      <c r="AE1113" s="43"/>
      <c r="AL1113" s="87" t="s">
        <v>819</v>
      </c>
      <c r="AM1113" s="86">
        <v>483421</v>
      </c>
    </row>
    <row r="1114" spans="13:39" hidden="1">
      <c r="M1114" s="131">
        <v>162594</v>
      </c>
      <c r="N1114" s="223">
        <v>487385</v>
      </c>
      <c r="O1114" s="132" t="s">
        <v>244</v>
      </c>
      <c r="P1114" s="132" t="s">
        <v>245</v>
      </c>
      <c r="Q1114" s="133">
        <v>211</v>
      </c>
      <c r="R1114" s="132" t="s">
        <v>279</v>
      </c>
      <c r="S1114" s="132" t="s">
        <v>11</v>
      </c>
      <c r="T1114" s="134">
        <v>42246</v>
      </c>
      <c r="U1114" s="172">
        <f t="shared" si="61"/>
        <v>2015</v>
      </c>
      <c r="V1114" s="172">
        <f t="shared" si="62"/>
        <v>8</v>
      </c>
      <c r="W1114" s="44" t="s">
        <v>291</v>
      </c>
      <c r="X1114" t="s">
        <v>892</v>
      </c>
      <c r="Y1114">
        <v>1</v>
      </c>
      <c r="AA1114" s="13">
        <f t="shared" si="60"/>
        <v>162594</v>
      </c>
      <c r="AE1114" s="43"/>
      <c r="AL1114" s="87" t="s">
        <v>819</v>
      </c>
      <c r="AM1114" s="86">
        <v>483421</v>
      </c>
    </row>
    <row r="1115" spans="13:39" hidden="1">
      <c r="M1115" s="131">
        <v>163111</v>
      </c>
      <c r="N1115" s="223">
        <v>511986</v>
      </c>
      <c r="O1115" s="132" t="s">
        <v>244</v>
      </c>
      <c r="P1115" s="132" t="s">
        <v>245</v>
      </c>
      <c r="Q1115" s="133">
        <v>649</v>
      </c>
      <c r="R1115" s="132" t="s">
        <v>279</v>
      </c>
      <c r="S1115" s="132" t="s">
        <v>11</v>
      </c>
      <c r="T1115" s="134">
        <v>42246</v>
      </c>
      <c r="U1115" s="172">
        <f t="shared" si="61"/>
        <v>2015</v>
      </c>
      <c r="V1115" s="172">
        <f t="shared" si="62"/>
        <v>8</v>
      </c>
      <c r="W1115" s="44" t="s">
        <v>291</v>
      </c>
      <c r="X1115" t="s">
        <v>892</v>
      </c>
      <c r="Y1115">
        <v>1</v>
      </c>
      <c r="AA1115" s="13">
        <f t="shared" si="60"/>
        <v>163111</v>
      </c>
      <c r="AE1115" s="43"/>
      <c r="AL1115" s="87" t="s">
        <v>819</v>
      </c>
      <c r="AM1115" s="86">
        <v>483421</v>
      </c>
    </row>
    <row r="1116" spans="13:39" hidden="1">
      <c r="M1116" s="131">
        <v>163555</v>
      </c>
      <c r="N1116" s="223">
        <v>502253</v>
      </c>
      <c r="O1116" s="132" t="s">
        <v>244</v>
      </c>
      <c r="P1116" s="132" t="s">
        <v>245</v>
      </c>
      <c r="Q1116" s="133">
        <v>337</v>
      </c>
      <c r="R1116" s="132" t="s">
        <v>279</v>
      </c>
      <c r="S1116" s="132" t="s">
        <v>11</v>
      </c>
      <c r="T1116" s="134">
        <v>42246</v>
      </c>
      <c r="U1116" s="172">
        <f t="shared" si="61"/>
        <v>2015</v>
      </c>
      <c r="V1116" s="172">
        <f t="shared" si="62"/>
        <v>8</v>
      </c>
      <c r="W1116" s="44" t="s">
        <v>291</v>
      </c>
      <c r="X1116" t="s">
        <v>892</v>
      </c>
      <c r="Y1116">
        <v>1</v>
      </c>
      <c r="AA1116" s="13">
        <f t="shared" si="60"/>
        <v>163555</v>
      </c>
      <c r="AE1116" s="43"/>
      <c r="AL1116" s="87" t="s">
        <v>819</v>
      </c>
      <c r="AM1116" s="86">
        <v>483421</v>
      </c>
    </row>
    <row r="1117" spans="13:39" hidden="1">
      <c r="M1117" s="131">
        <v>163752</v>
      </c>
      <c r="N1117" s="223">
        <v>487882</v>
      </c>
      <c r="O1117" s="132" t="s">
        <v>244</v>
      </c>
      <c r="P1117" s="132" t="s">
        <v>245</v>
      </c>
      <c r="Q1117" s="133">
        <v>228</v>
      </c>
      <c r="R1117" s="132" t="s">
        <v>279</v>
      </c>
      <c r="S1117" s="132" t="s">
        <v>11</v>
      </c>
      <c r="T1117" s="134">
        <v>42246</v>
      </c>
      <c r="U1117" s="172">
        <f t="shared" si="61"/>
        <v>2015</v>
      </c>
      <c r="V1117" s="172">
        <f t="shared" si="62"/>
        <v>8</v>
      </c>
      <c r="W1117" s="44" t="s">
        <v>291</v>
      </c>
      <c r="X1117" t="s">
        <v>892</v>
      </c>
      <c r="Y1117">
        <v>1</v>
      </c>
      <c r="AA1117" s="13">
        <f t="shared" si="60"/>
        <v>163752</v>
      </c>
      <c r="AE1117" s="43"/>
      <c r="AL1117" s="87" t="s">
        <v>819</v>
      </c>
      <c r="AM1117" s="86">
        <v>483421</v>
      </c>
    </row>
    <row r="1118" spans="13:39" hidden="1">
      <c r="M1118" s="131">
        <v>164100</v>
      </c>
      <c r="N1118" s="223">
        <v>486394</v>
      </c>
      <c r="O1118" s="132" t="s">
        <v>244</v>
      </c>
      <c r="P1118" s="132" t="s">
        <v>245</v>
      </c>
      <c r="Q1118" s="133">
        <v>488</v>
      </c>
      <c r="R1118" s="132" t="s">
        <v>279</v>
      </c>
      <c r="S1118" s="132" t="s">
        <v>11</v>
      </c>
      <c r="T1118" s="134">
        <v>42246</v>
      </c>
      <c r="U1118" s="172">
        <f t="shared" si="61"/>
        <v>2015</v>
      </c>
      <c r="V1118" s="172">
        <f t="shared" si="62"/>
        <v>8</v>
      </c>
      <c r="W1118" s="44" t="s">
        <v>291</v>
      </c>
      <c r="X1118" t="s">
        <v>892</v>
      </c>
      <c r="Y1118">
        <v>1</v>
      </c>
      <c r="AA1118" s="13">
        <f t="shared" si="60"/>
        <v>164100</v>
      </c>
      <c r="AE1118" s="43"/>
      <c r="AL1118" s="87" t="s">
        <v>819</v>
      </c>
      <c r="AM1118" s="86">
        <v>483421</v>
      </c>
    </row>
    <row r="1119" spans="13:39" hidden="1">
      <c r="M1119" s="131">
        <v>165100</v>
      </c>
      <c r="N1119" s="223">
        <v>485899</v>
      </c>
      <c r="O1119" s="132" t="s">
        <v>244</v>
      </c>
      <c r="P1119" s="132" t="s">
        <v>245</v>
      </c>
      <c r="Q1119" s="133">
        <v>485</v>
      </c>
      <c r="R1119" s="132" t="s">
        <v>279</v>
      </c>
      <c r="S1119" s="132" t="s">
        <v>11</v>
      </c>
      <c r="T1119" s="134">
        <v>42246</v>
      </c>
      <c r="U1119" s="172">
        <f t="shared" si="61"/>
        <v>2015</v>
      </c>
      <c r="V1119" s="172">
        <f t="shared" si="62"/>
        <v>8</v>
      </c>
      <c r="W1119" s="44" t="s">
        <v>291</v>
      </c>
      <c r="X1119" t="s">
        <v>892</v>
      </c>
      <c r="Y1119">
        <v>1</v>
      </c>
      <c r="AA1119" s="13">
        <f t="shared" si="60"/>
        <v>165100</v>
      </c>
      <c r="AE1119" s="43"/>
      <c r="AL1119" s="87" t="s">
        <v>819</v>
      </c>
      <c r="AM1119" s="86">
        <v>483421</v>
      </c>
    </row>
    <row r="1120" spans="13:39" hidden="1">
      <c r="M1120" s="131">
        <v>166652</v>
      </c>
      <c r="N1120" s="223">
        <v>491350</v>
      </c>
      <c r="O1120" s="132" t="s">
        <v>244</v>
      </c>
      <c r="P1120" s="132" t="s">
        <v>245</v>
      </c>
      <c r="Q1120" s="133">
        <v>415</v>
      </c>
      <c r="R1120" s="132" t="s">
        <v>279</v>
      </c>
      <c r="S1120" s="132" t="s">
        <v>11</v>
      </c>
      <c r="T1120" s="134">
        <v>42246</v>
      </c>
      <c r="U1120" s="172">
        <f t="shared" si="61"/>
        <v>2015</v>
      </c>
      <c r="V1120" s="172">
        <f t="shared" si="62"/>
        <v>8</v>
      </c>
      <c r="W1120" s="44" t="s">
        <v>291</v>
      </c>
      <c r="X1120" t="s">
        <v>892</v>
      </c>
      <c r="Y1120">
        <v>1</v>
      </c>
      <c r="AA1120" s="13">
        <f t="shared" si="60"/>
        <v>166652</v>
      </c>
      <c r="AE1120" s="43"/>
      <c r="AL1120" s="87" t="s">
        <v>819</v>
      </c>
      <c r="AM1120" s="86">
        <v>483421</v>
      </c>
    </row>
    <row r="1121" spans="13:39" hidden="1">
      <c r="M1121" s="131">
        <v>166750</v>
      </c>
      <c r="N1121" s="223">
        <v>490854</v>
      </c>
      <c r="O1121" s="132" t="s">
        <v>244</v>
      </c>
      <c r="P1121" s="132" t="s">
        <v>245</v>
      </c>
      <c r="Q1121" s="133">
        <v>235</v>
      </c>
      <c r="R1121" s="132" t="s">
        <v>279</v>
      </c>
      <c r="S1121" s="132" t="s">
        <v>11</v>
      </c>
      <c r="T1121" s="134">
        <v>42246</v>
      </c>
      <c r="U1121" s="172">
        <f t="shared" si="61"/>
        <v>2015</v>
      </c>
      <c r="V1121" s="172">
        <f t="shared" si="62"/>
        <v>8</v>
      </c>
      <c r="W1121" s="44" t="s">
        <v>291</v>
      </c>
      <c r="X1121" t="s">
        <v>892</v>
      </c>
      <c r="Y1121">
        <v>1</v>
      </c>
      <c r="AA1121" s="13">
        <f t="shared" si="60"/>
        <v>166750</v>
      </c>
      <c r="AE1121" s="43"/>
      <c r="AL1121" s="87" t="s">
        <v>819</v>
      </c>
      <c r="AM1121" s="86">
        <v>483870</v>
      </c>
    </row>
    <row r="1122" spans="13:39" hidden="1">
      <c r="M1122" s="131">
        <v>167000</v>
      </c>
      <c r="N1122" s="223">
        <v>508200</v>
      </c>
      <c r="O1122" s="132" t="s">
        <v>244</v>
      </c>
      <c r="P1122" s="132" t="s">
        <v>245</v>
      </c>
      <c r="Q1122" s="133">
        <v>75</v>
      </c>
      <c r="R1122" s="132" t="s">
        <v>279</v>
      </c>
      <c r="S1122" s="132" t="s">
        <v>11</v>
      </c>
      <c r="T1122" s="134">
        <v>42246</v>
      </c>
      <c r="U1122" s="172">
        <f t="shared" si="61"/>
        <v>2015</v>
      </c>
      <c r="V1122" s="172">
        <f t="shared" si="62"/>
        <v>8</v>
      </c>
      <c r="W1122" s="44" t="s">
        <v>291</v>
      </c>
      <c r="X1122" t="s">
        <v>892</v>
      </c>
      <c r="Y1122">
        <v>1</v>
      </c>
      <c r="AA1122" s="13">
        <f t="shared" si="60"/>
        <v>167000</v>
      </c>
      <c r="AE1122" s="43"/>
      <c r="AL1122" s="87" t="s">
        <v>819</v>
      </c>
      <c r="AM1122" s="86">
        <v>483916</v>
      </c>
    </row>
    <row r="1123" spans="13:39" hidden="1">
      <c r="M1123" s="131">
        <v>167000</v>
      </c>
      <c r="N1123" s="223">
        <v>581662</v>
      </c>
      <c r="O1123" s="132" t="s">
        <v>244</v>
      </c>
      <c r="P1123" s="132" t="s">
        <v>245</v>
      </c>
      <c r="Q1123" s="133">
        <v>1249</v>
      </c>
      <c r="R1123" s="132" t="s">
        <v>279</v>
      </c>
      <c r="S1123" s="132" t="s">
        <v>11</v>
      </c>
      <c r="T1123" s="134">
        <v>42548</v>
      </c>
      <c r="U1123" s="172">
        <f t="shared" si="61"/>
        <v>2016</v>
      </c>
      <c r="V1123" s="172">
        <f t="shared" si="62"/>
        <v>6</v>
      </c>
      <c r="W1123" s="44" t="s">
        <v>280</v>
      </c>
      <c r="X1123" t="s">
        <v>892</v>
      </c>
      <c r="Y1123">
        <v>1</v>
      </c>
      <c r="AA1123" s="13">
        <f t="shared" si="60"/>
        <v>167000</v>
      </c>
      <c r="AE1123" s="43"/>
      <c r="AL1123" s="87" t="s">
        <v>819</v>
      </c>
      <c r="AM1123" s="86">
        <v>483916</v>
      </c>
    </row>
    <row r="1124" spans="13:39" hidden="1">
      <c r="M1124" s="131">
        <v>167260</v>
      </c>
      <c r="N1124" s="223">
        <v>562716</v>
      </c>
      <c r="O1124" s="132" t="s">
        <v>244</v>
      </c>
      <c r="P1124" s="132" t="s">
        <v>245</v>
      </c>
      <c r="Q1124" s="133">
        <v>80</v>
      </c>
      <c r="R1124" s="132" t="s">
        <v>279</v>
      </c>
      <c r="S1124" s="132" t="s">
        <v>11</v>
      </c>
      <c r="T1124" s="134">
        <v>42246</v>
      </c>
      <c r="U1124" s="172">
        <f t="shared" si="61"/>
        <v>2015</v>
      </c>
      <c r="V1124" s="172">
        <f t="shared" si="62"/>
        <v>8</v>
      </c>
      <c r="W1124" s="44" t="s">
        <v>291</v>
      </c>
      <c r="X1124" t="s">
        <v>892</v>
      </c>
      <c r="Y1124">
        <v>1</v>
      </c>
      <c r="AA1124" s="13">
        <f t="shared" si="60"/>
        <v>167260</v>
      </c>
      <c r="AE1124" s="43"/>
      <c r="AL1124" s="87" t="s">
        <v>819</v>
      </c>
      <c r="AM1124" s="86">
        <v>483916</v>
      </c>
    </row>
    <row r="1125" spans="13:39" hidden="1">
      <c r="M1125" s="131">
        <v>167920</v>
      </c>
      <c r="N1125" s="223">
        <v>481934</v>
      </c>
      <c r="O1125" s="132" t="s">
        <v>244</v>
      </c>
      <c r="P1125" s="132" t="s">
        <v>245</v>
      </c>
      <c r="Q1125" s="133">
        <v>230</v>
      </c>
      <c r="R1125" s="132" t="s">
        <v>279</v>
      </c>
      <c r="S1125" s="132" t="s">
        <v>11</v>
      </c>
      <c r="T1125" s="134">
        <v>42246</v>
      </c>
      <c r="U1125" s="172">
        <f t="shared" si="61"/>
        <v>2015</v>
      </c>
      <c r="V1125" s="172">
        <f t="shared" si="62"/>
        <v>8</v>
      </c>
      <c r="W1125" s="44" t="s">
        <v>291</v>
      </c>
      <c r="X1125" t="s">
        <v>892</v>
      </c>
      <c r="Y1125">
        <v>1</v>
      </c>
      <c r="AA1125" s="13">
        <f t="shared" si="60"/>
        <v>167920</v>
      </c>
      <c r="AE1125" s="43"/>
      <c r="AL1125" s="87" t="s">
        <v>819</v>
      </c>
      <c r="AM1125" s="86">
        <v>483916</v>
      </c>
    </row>
    <row r="1126" spans="13:39" hidden="1">
      <c r="M1126" s="131">
        <v>168555</v>
      </c>
      <c r="N1126" s="223">
        <v>524059</v>
      </c>
      <c r="O1126" s="132" t="s">
        <v>244</v>
      </c>
      <c r="P1126" s="132" t="s">
        <v>245</v>
      </c>
      <c r="Q1126" s="133">
        <v>312</v>
      </c>
      <c r="R1126" s="132" t="s">
        <v>279</v>
      </c>
      <c r="S1126" s="132" t="s">
        <v>11</v>
      </c>
      <c r="T1126" s="134">
        <v>42246</v>
      </c>
      <c r="U1126" s="172">
        <f t="shared" si="61"/>
        <v>2015</v>
      </c>
      <c r="V1126" s="172">
        <f t="shared" si="62"/>
        <v>8</v>
      </c>
      <c r="W1126" s="44" t="s">
        <v>291</v>
      </c>
      <c r="X1126" t="s">
        <v>892</v>
      </c>
      <c r="Y1126">
        <v>1</v>
      </c>
      <c r="AA1126" s="13">
        <f t="shared" si="60"/>
        <v>168555</v>
      </c>
      <c r="AE1126" s="43"/>
      <c r="AL1126" s="87" t="s">
        <v>819</v>
      </c>
      <c r="AM1126" s="86">
        <v>483916</v>
      </c>
    </row>
    <row r="1127" spans="13:39" hidden="1">
      <c r="M1127" s="131">
        <v>168782</v>
      </c>
      <c r="N1127" s="223">
        <v>492837</v>
      </c>
      <c r="O1127" s="132" t="s">
        <v>244</v>
      </c>
      <c r="P1127" s="132" t="s">
        <v>245</v>
      </c>
      <c r="Q1127" s="133">
        <v>303</v>
      </c>
      <c r="R1127" s="132" t="s">
        <v>279</v>
      </c>
      <c r="S1127" s="132" t="s">
        <v>11</v>
      </c>
      <c r="T1127" s="134">
        <v>42246</v>
      </c>
      <c r="U1127" s="172">
        <f t="shared" si="61"/>
        <v>2015</v>
      </c>
      <c r="V1127" s="172">
        <f t="shared" si="62"/>
        <v>8</v>
      </c>
      <c r="W1127" s="44" t="s">
        <v>291</v>
      </c>
      <c r="X1127" t="s">
        <v>892</v>
      </c>
      <c r="Y1127">
        <v>1</v>
      </c>
      <c r="AA1127" s="13">
        <f t="shared" si="60"/>
        <v>168782</v>
      </c>
      <c r="AE1127" s="43"/>
      <c r="AL1127" s="87" t="s">
        <v>819</v>
      </c>
      <c r="AM1127" s="86">
        <v>483916</v>
      </c>
    </row>
    <row r="1128" spans="13:39" hidden="1">
      <c r="M1128" s="131">
        <v>169671</v>
      </c>
      <c r="N1128" s="223">
        <v>576536</v>
      </c>
      <c r="O1128" s="132" t="s">
        <v>244</v>
      </c>
      <c r="P1128" s="132" t="s">
        <v>245</v>
      </c>
      <c r="Q1128" s="133">
        <v>1020</v>
      </c>
      <c r="R1128" s="132" t="s">
        <v>279</v>
      </c>
      <c r="S1128" s="132" t="s">
        <v>11</v>
      </c>
      <c r="T1128" s="134">
        <v>42548</v>
      </c>
      <c r="U1128" s="172">
        <f t="shared" si="61"/>
        <v>2016</v>
      </c>
      <c r="V1128" s="172">
        <f t="shared" si="62"/>
        <v>6</v>
      </c>
      <c r="W1128" s="44" t="s">
        <v>280</v>
      </c>
      <c r="X1128" t="s">
        <v>892</v>
      </c>
      <c r="Y1128">
        <v>1</v>
      </c>
      <c r="AA1128" s="13">
        <f t="shared" si="60"/>
        <v>169671</v>
      </c>
      <c r="AE1128" s="43"/>
      <c r="AL1128" s="87" t="s">
        <v>819</v>
      </c>
      <c r="AM1128" s="86">
        <v>483916</v>
      </c>
    </row>
    <row r="1129" spans="13:39" hidden="1">
      <c r="M1129" s="131">
        <v>170000</v>
      </c>
      <c r="N1129" s="223">
        <v>477970</v>
      </c>
      <c r="O1129" s="132" t="s">
        <v>244</v>
      </c>
      <c r="P1129" s="132" t="s">
        <v>245</v>
      </c>
      <c r="Q1129" s="133">
        <v>366</v>
      </c>
      <c r="R1129" s="132" t="s">
        <v>279</v>
      </c>
      <c r="S1129" s="132" t="s">
        <v>11</v>
      </c>
      <c r="T1129" s="134">
        <v>42246</v>
      </c>
      <c r="U1129" s="172">
        <f t="shared" si="61"/>
        <v>2015</v>
      </c>
      <c r="V1129" s="172">
        <f t="shared" si="62"/>
        <v>8</v>
      </c>
      <c r="W1129" s="44" t="s">
        <v>291</v>
      </c>
      <c r="X1129" t="s">
        <v>892</v>
      </c>
      <c r="Y1129">
        <v>1</v>
      </c>
      <c r="AA1129" s="13">
        <f t="shared" si="60"/>
        <v>170000</v>
      </c>
      <c r="AE1129" s="43"/>
      <c r="AL1129" s="87" t="s">
        <v>819</v>
      </c>
      <c r="AM1129" s="86">
        <v>483916</v>
      </c>
    </row>
    <row r="1130" spans="13:39" hidden="1">
      <c r="M1130" s="131">
        <v>170000</v>
      </c>
      <c r="N1130" s="223">
        <v>569702</v>
      </c>
      <c r="O1130" s="132" t="s">
        <v>244</v>
      </c>
      <c r="P1130" s="132" t="s">
        <v>245</v>
      </c>
      <c r="Q1130" s="133">
        <v>1117</v>
      </c>
      <c r="R1130" s="132" t="s">
        <v>279</v>
      </c>
      <c r="S1130" s="132" t="s">
        <v>11</v>
      </c>
      <c r="T1130" s="134">
        <v>42548</v>
      </c>
      <c r="U1130" s="172">
        <f t="shared" si="61"/>
        <v>2016</v>
      </c>
      <c r="V1130" s="172">
        <f t="shared" si="62"/>
        <v>6</v>
      </c>
      <c r="W1130" s="44" t="s">
        <v>280</v>
      </c>
      <c r="X1130" t="s">
        <v>892</v>
      </c>
      <c r="Y1130">
        <v>1</v>
      </c>
      <c r="AA1130" s="13">
        <f t="shared" si="60"/>
        <v>170000</v>
      </c>
      <c r="AE1130" s="43"/>
      <c r="AL1130" s="87" t="s">
        <v>819</v>
      </c>
      <c r="AM1130" s="86">
        <v>483916</v>
      </c>
    </row>
    <row r="1131" spans="13:39" hidden="1">
      <c r="M1131" s="131">
        <v>170005</v>
      </c>
      <c r="N1131" s="223">
        <v>728031</v>
      </c>
      <c r="O1131" s="132" t="s">
        <v>244</v>
      </c>
      <c r="P1131" s="132" t="s">
        <v>245</v>
      </c>
      <c r="Q1131" s="133">
        <v>1207</v>
      </c>
      <c r="R1131" s="132" t="s">
        <v>279</v>
      </c>
      <c r="S1131" s="132" t="s">
        <v>11</v>
      </c>
      <c r="T1131" s="134">
        <v>42548</v>
      </c>
      <c r="U1131" s="172">
        <f t="shared" si="61"/>
        <v>2016</v>
      </c>
      <c r="V1131" s="172">
        <f t="shared" si="62"/>
        <v>6</v>
      </c>
      <c r="W1131" s="44" t="s">
        <v>280</v>
      </c>
      <c r="X1131" t="s">
        <v>892</v>
      </c>
      <c r="Y1131">
        <v>1</v>
      </c>
      <c r="AA1131" s="13">
        <f t="shared" si="60"/>
        <v>170005</v>
      </c>
      <c r="AE1131" s="43"/>
      <c r="AL1131" s="87" t="s">
        <v>819</v>
      </c>
      <c r="AM1131" s="86">
        <v>484413</v>
      </c>
    </row>
    <row r="1132" spans="13:39" hidden="1">
      <c r="M1132" s="131">
        <v>170109</v>
      </c>
      <c r="N1132" s="223">
        <v>492837</v>
      </c>
      <c r="O1132" s="132" t="s">
        <v>244</v>
      </c>
      <c r="P1132" s="132" t="s">
        <v>245</v>
      </c>
      <c r="Q1132" s="133">
        <v>406</v>
      </c>
      <c r="R1132" s="132" t="s">
        <v>279</v>
      </c>
      <c r="S1132" s="132" t="s">
        <v>11</v>
      </c>
      <c r="T1132" s="134">
        <v>42246</v>
      </c>
      <c r="U1132" s="172">
        <f t="shared" si="61"/>
        <v>2015</v>
      </c>
      <c r="V1132" s="172">
        <f t="shared" si="62"/>
        <v>8</v>
      </c>
      <c r="W1132" s="44" t="s">
        <v>291</v>
      </c>
      <c r="X1132" t="s">
        <v>892</v>
      </c>
      <c r="Y1132">
        <v>1</v>
      </c>
      <c r="AA1132" s="13">
        <f t="shared" si="60"/>
        <v>170109</v>
      </c>
      <c r="AE1132" s="43"/>
      <c r="AL1132" s="87" t="s">
        <v>819</v>
      </c>
      <c r="AM1132" s="86">
        <v>484413</v>
      </c>
    </row>
    <row r="1133" spans="13:39" hidden="1">
      <c r="M1133" s="131">
        <v>170110</v>
      </c>
      <c r="N1133" s="222">
        <v>420377</v>
      </c>
      <c r="O1133" s="132" t="s">
        <v>244</v>
      </c>
      <c r="P1133" s="132" t="s">
        <v>245</v>
      </c>
      <c r="Q1133" s="133">
        <v>121</v>
      </c>
      <c r="R1133" s="132" t="s">
        <v>289</v>
      </c>
      <c r="S1133" s="132" t="s">
        <v>11</v>
      </c>
      <c r="T1133" s="134">
        <v>41652</v>
      </c>
      <c r="U1133" s="172">
        <f t="shared" si="61"/>
        <v>2014</v>
      </c>
      <c r="V1133" s="172">
        <f t="shared" si="62"/>
        <v>1</v>
      </c>
      <c r="W1133" s="44" t="s">
        <v>316</v>
      </c>
      <c r="X1133" t="s">
        <v>894</v>
      </c>
      <c r="Y1133">
        <v>1</v>
      </c>
      <c r="AA1133" s="13">
        <f t="shared" si="60"/>
        <v>170110</v>
      </c>
      <c r="AE1133" s="43"/>
      <c r="AL1133" s="87" t="s">
        <v>819</v>
      </c>
      <c r="AM1133" s="86">
        <v>484413</v>
      </c>
    </row>
    <row r="1134" spans="13:39" hidden="1">
      <c r="M1134" s="131">
        <v>170202</v>
      </c>
      <c r="N1134" s="223">
        <v>631780</v>
      </c>
      <c r="O1134" s="132" t="s">
        <v>244</v>
      </c>
      <c r="P1134" s="132" t="s">
        <v>245</v>
      </c>
      <c r="Q1134" s="133">
        <v>1004</v>
      </c>
      <c r="R1134" s="132" t="s">
        <v>279</v>
      </c>
      <c r="S1134" s="132" t="s">
        <v>11</v>
      </c>
      <c r="T1134" s="134">
        <v>42548</v>
      </c>
      <c r="U1134" s="172">
        <f t="shared" si="61"/>
        <v>2016</v>
      </c>
      <c r="V1134" s="172">
        <f t="shared" si="62"/>
        <v>6</v>
      </c>
      <c r="W1134" s="44" t="s">
        <v>280</v>
      </c>
      <c r="X1134" t="s">
        <v>892</v>
      </c>
      <c r="Y1134">
        <v>1</v>
      </c>
      <c r="AA1134" s="13">
        <f t="shared" si="60"/>
        <v>170202</v>
      </c>
      <c r="AE1134" s="43"/>
      <c r="AL1134" s="87" t="s">
        <v>819</v>
      </c>
      <c r="AM1134" s="86">
        <v>484413</v>
      </c>
    </row>
    <row r="1135" spans="13:39" hidden="1">
      <c r="M1135" s="131">
        <v>170979</v>
      </c>
      <c r="N1135" s="223">
        <v>492837</v>
      </c>
      <c r="O1135" s="132" t="s">
        <v>244</v>
      </c>
      <c r="P1135" s="132" t="s">
        <v>245</v>
      </c>
      <c r="Q1135" s="133">
        <v>141</v>
      </c>
      <c r="R1135" s="132" t="s">
        <v>279</v>
      </c>
      <c r="S1135" s="132" t="s">
        <v>11</v>
      </c>
      <c r="T1135" s="134">
        <v>42246</v>
      </c>
      <c r="U1135" s="172">
        <f t="shared" si="61"/>
        <v>2015</v>
      </c>
      <c r="V1135" s="172">
        <f t="shared" si="62"/>
        <v>8</v>
      </c>
      <c r="W1135" s="44" t="s">
        <v>291</v>
      </c>
      <c r="X1135" t="s">
        <v>892</v>
      </c>
      <c r="Y1135">
        <v>1</v>
      </c>
      <c r="AA1135" s="13">
        <f t="shared" si="60"/>
        <v>170979</v>
      </c>
      <c r="AE1135" s="43"/>
      <c r="AL1135" s="87" t="s">
        <v>819</v>
      </c>
      <c r="AM1135" s="86">
        <v>484413</v>
      </c>
    </row>
    <row r="1136" spans="13:39" hidden="1">
      <c r="M1136" s="131">
        <v>171000</v>
      </c>
      <c r="N1136" s="223">
        <v>492837</v>
      </c>
      <c r="O1136" s="132" t="s">
        <v>244</v>
      </c>
      <c r="P1136" s="132" t="s">
        <v>245</v>
      </c>
      <c r="Q1136" s="133">
        <v>522</v>
      </c>
      <c r="R1136" s="132" t="s">
        <v>279</v>
      </c>
      <c r="S1136" s="132" t="s">
        <v>11</v>
      </c>
      <c r="T1136" s="134">
        <v>42246</v>
      </c>
      <c r="U1136" s="172">
        <f t="shared" si="61"/>
        <v>2015</v>
      </c>
      <c r="V1136" s="172">
        <f t="shared" si="62"/>
        <v>8</v>
      </c>
      <c r="W1136" s="44" t="s">
        <v>291</v>
      </c>
      <c r="X1136" t="s">
        <v>892</v>
      </c>
      <c r="Y1136">
        <v>1</v>
      </c>
      <c r="AA1136" s="13">
        <f t="shared" si="60"/>
        <v>171000</v>
      </c>
      <c r="AE1136" s="43"/>
      <c r="AL1136" s="87" t="s">
        <v>819</v>
      </c>
      <c r="AM1136" s="86">
        <v>484413</v>
      </c>
    </row>
    <row r="1137" spans="13:39" hidden="1">
      <c r="M1137" s="131">
        <v>171100</v>
      </c>
      <c r="N1137" s="223">
        <v>493333</v>
      </c>
      <c r="O1137" s="132" t="s">
        <v>244</v>
      </c>
      <c r="P1137" s="132" t="s">
        <v>245</v>
      </c>
      <c r="Q1137" s="133">
        <v>423</v>
      </c>
      <c r="R1137" s="132" t="s">
        <v>279</v>
      </c>
      <c r="S1137" s="132" t="s">
        <v>11</v>
      </c>
      <c r="T1137" s="134">
        <v>42246</v>
      </c>
      <c r="U1137" s="172">
        <f t="shared" si="61"/>
        <v>2015</v>
      </c>
      <c r="V1137" s="172">
        <f t="shared" si="62"/>
        <v>8</v>
      </c>
      <c r="W1137" s="44" t="s">
        <v>291</v>
      </c>
      <c r="X1137" t="s">
        <v>892</v>
      </c>
      <c r="Y1137">
        <v>1</v>
      </c>
      <c r="AA1137" s="13">
        <f t="shared" si="60"/>
        <v>171100</v>
      </c>
      <c r="AE1137" s="43"/>
      <c r="AL1137" s="87" t="s">
        <v>819</v>
      </c>
      <c r="AM1137" s="86">
        <v>484413</v>
      </c>
    </row>
    <row r="1138" spans="13:39" hidden="1">
      <c r="M1138" s="131">
        <v>171234</v>
      </c>
      <c r="N1138" s="223">
        <v>587358</v>
      </c>
      <c r="O1138" s="132" t="s">
        <v>244</v>
      </c>
      <c r="P1138" s="132" t="s">
        <v>245</v>
      </c>
      <c r="Q1138" s="133">
        <v>1562</v>
      </c>
      <c r="R1138" s="132" t="s">
        <v>279</v>
      </c>
      <c r="S1138" s="132" t="s">
        <v>11</v>
      </c>
      <c r="T1138" s="134">
        <v>42548</v>
      </c>
      <c r="U1138" s="172">
        <f t="shared" si="61"/>
        <v>2016</v>
      </c>
      <c r="V1138" s="172">
        <f t="shared" si="62"/>
        <v>6</v>
      </c>
      <c r="W1138" s="44" t="s">
        <v>280</v>
      </c>
      <c r="X1138" t="s">
        <v>892</v>
      </c>
      <c r="Y1138">
        <v>1</v>
      </c>
      <c r="AA1138" s="13">
        <f t="shared" si="60"/>
        <v>171234</v>
      </c>
      <c r="AE1138" s="43"/>
      <c r="AL1138" s="87" t="s">
        <v>819</v>
      </c>
      <c r="AM1138" s="86">
        <v>484413</v>
      </c>
    </row>
    <row r="1139" spans="13:39" hidden="1">
      <c r="M1139" s="131">
        <v>171500</v>
      </c>
      <c r="N1139" s="223">
        <v>539517</v>
      </c>
      <c r="O1139" s="132" t="s">
        <v>244</v>
      </c>
      <c r="P1139" s="132" t="s">
        <v>245</v>
      </c>
      <c r="Q1139" s="133">
        <v>1027</v>
      </c>
      <c r="R1139" s="132" t="s">
        <v>279</v>
      </c>
      <c r="S1139" s="132" t="s">
        <v>11</v>
      </c>
      <c r="T1139" s="134">
        <v>42548</v>
      </c>
      <c r="U1139" s="172">
        <f t="shared" si="61"/>
        <v>2016</v>
      </c>
      <c r="V1139" s="172">
        <f t="shared" si="62"/>
        <v>6</v>
      </c>
      <c r="W1139" s="44" t="s">
        <v>280</v>
      </c>
      <c r="X1139" t="s">
        <v>892</v>
      </c>
      <c r="Y1139">
        <v>1</v>
      </c>
      <c r="AA1139" s="13">
        <f t="shared" si="60"/>
        <v>171500</v>
      </c>
      <c r="AE1139" s="43"/>
      <c r="AL1139" s="87" t="s">
        <v>819</v>
      </c>
      <c r="AM1139" s="86">
        <v>484413</v>
      </c>
    </row>
    <row r="1140" spans="13:39" hidden="1">
      <c r="M1140" s="131">
        <v>171567</v>
      </c>
      <c r="N1140" s="223">
        <v>490854</v>
      </c>
      <c r="O1140" s="132" t="s">
        <v>244</v>
      </c>
      <c r="P1140" s="132" t="s">
        <v>245</v>
      </c>
      <c r="Q1140" s="133">
        <v>212</v>
      </c>
      <c r="R1140" s="132" t="s">
        <v>279</v>
      </c>
      <c r="S1140" s="132" t="s">
        <v>11</v>
      </c>
      <c r="T1140" s="134">
        <v>42246</v>
      </c>
      <c r="U1140" s="172">
        <f t="shared" si="61"/>
        <v>2015</v>
      </c>
      <c r="V1140" s="172">
        <f t="shared" si="62"/>
        <v>8</v>
      </c>
      <c r="W1140" s="44" t="s">
        <v>291</v>
      </c>
      <c r="X1140" t="s">
        <v>892</v>
      </c>
      <c r="Y1140">
        <v>1</v>
      </c>
      <c r="AA1140" s="13">
        <f t="shared" si="60"/>
        <v>171567</v>
      </c>
      <c r="AE1140" s="43"/>
      <c r="AL1140" s="87" t="s">
        <v>819</v>
      </c>
      <c r="AM1140" s="86">
        <v>484413</v>
      </c>
    </row>
    <row r="1141" spans="13:39" hidden="1">
      <c r="M1141" s="131">
        <v>171598</v>
      </c>
      <c r="N1141" s="223">
        <v>493828</v>
      </c>
      <c r="O1141" s="132" t="s">
        <v>244</v>
      </c>
      <c r="P1141" s="132" t="s">
        <v>245</v>
      </c>
      <c r="Q1141" s="133">
        <v>176</v>
      </c>
      <c r="R1141" s="132" t="s">
        <v>279</v>
      </c>
      <c r="S1141" s="132" t="s">
        <v>11</v>
      </c>
      <c r="T1141" s="134">
        <v>42246</v>
      </c>
      <c r="U1141" s="172">
        <f t="shared" si="61"/>
        <v>2015</v>
      </c>
      <c r="V1141" s="172">
        <f t="shared" si="62"/>
        <v>8</v>
      </c>
      <c r="W1141" s="44" t="s">
        <v>291</v>
      </c>
      <c r="X1141" t="s">
        <v>892</v>
      </c>
      <c r="Y1141">
        <v>1</v>
      </c>
      <c r="AA1141" s="13">
        <f t="shared" si="60"/>
        <v>171598</v>
      </c>
      <c r="AE1141" s="43"/>
      <c r="AL1141" s="87" t="s">
        <v>819</v>
      </c>
      <c r="AM1141" s="86">
        <v>484413</v>
      </c>
    </row>
    <row r="1142" spans="13:39" hidden="1">
      <c r="M1142" s="131">
        <v>171951</v>
      </c>
      <c r="N1142" s="222">
        <v>428822</v>
      </c>
      <c r="O1142" s="132" t="s">
        <v>244</v>
      </c>
      <c r="P1142" s="132" t="s">
        <v>245</v>
      </c>
      <c r="Q1142" s="133">
        <v>110</v>
      </c>
      <c r="R1142" s="132" t="s">
        <v>289</v>
      </c>
      <c r="S1142" s="132" t="s">
        <v>11</v>
      </c>
      <c r="T1142" s="134">
        <v>42004</v>
      </c>
      <c r="U1142" s="172">
        <f t="shared" si="61"/>
        <v>2014</v>
      </c>
      <c r="V1142" s="172">
        <f t="shared" si="62"/>
        <v>12</v>
      </c>
      <c r="W1142" s="44" t="s">
        <v>298</v>
      </c>
      <c r="X1142" t="s">
        <v>894</v>
      </c>
      <c r="Y1142">
        <v>1</v>
      </c>
      <c r="Z1142">
        <v>474</v>
      </c>
      <c r="AA1142" s="13">
        <f t="shared" si="60"/>
        <v>171951</v>
      </c>
      <c r="AE1142" s="43"/>
      <c r="AL1142" s="87" t="s">
        <v>819</v>
      </c>
      <c r="AM1142" s="86">
        <v>484413</v>
      </c>
    </row>
    <row r="1143" spans="13:39" hidden="1">
      <c r="M1143" s="131">
        <v>172428</v>
      </c>
      <c r="N1143" s="223">
        <v>617543</v>
      </c>
      <c r="O1143" s="132" t="s">
        <v>244</v>
      </c>
      <c r="P1143" s="132" t="s">
        <v>245</v>
      </c>
      <c r="Q1143" s="133">
        <v>1032</v>
      </c>
      <c r="R1143" s="132" t="s">
        <v>279</v>
      </c>
      <c r="S1143" s="132" t="s">
        <v>11</v>
      </c>
      <c r="T1143" s="134">
        <v>42548</v>
      </c>
      <c r="U1143" s="172">
        <f t="shared" si="61"/>
        <v>2016</v>
      </c>
      <c r="V1143" s="172">
        <f t="shared" si="62"/>
        <v>6</v>
      </c>
      <c r="W1143" s="44" t="s">
        <v>280</v>
      </c>
      <c r="X1143" t="s">
        <v>892</v>
      </c>
      <c r="Y1143">
        <v>1</v>
      </c>
      <c r="AA1143" s="13">
        <f t="shared" si="60"/>
        <v>172428</v>
      </c>
      <c r="AE1143" s="43"/>
      <c r="AL1143" s="87" t="s">
        <v>819</v>
      </c>
      <c r="AM1143" s="86">
        <v>484413</v>
      </c>
    </row>
    <row r="1144" spans="13:39" hidden="1">
      <c r="M1144" s="131">
        <v>173250</v>
      </c>
      <c r="N1144" s="223">
        <v>542935</v>
      </c>
      <c r="O1144" s="132" t="s">
        <v>244</v>
      </c>
      <c r="P1144" s="132" t="s">
        <v>245</v>
      </c>
      <c r="Q1144" s="133">
        <v>1226</v>
      </c>
      <c r="R1144" s="132" t="s">
        <v>279</v>
      </c>
      <c r="S1144" s="132" t="s">
        <v>11</v>
      </c>
      <c r="T1144" s="134">
        <v>42548</v>
      </c>
      <c r="U1144" s="172">
        <f t="shared" si="61"/>
        <v>2016</v>
      </c>
      <c r="V1144" s="172">
        <f t="shared" si="62"/>
        <v>6</v>
      </c>
      <c r="W1144" s="44" t="s">
        <v>280</v>
      </c>
      <c r="X1144" t="s">
        <v>892</v>
      </c>
      <c r="Y1144">
        <v>1</v>
      </c>
      <c r="AA1144" s="13">
        <f t="shared" si="60"/>
        <v>173250</v>
      </c>
      <c r="AE1144" s="43"/>
      <c r="AL1144" s="87" t="s">
        <v>819</v>
      </c>
      <c r="AM1144" s="86">
        <v>484413</v>
      </c>
    </row>
    <row r="1145" spans="13:39" hidden="1">
      <c r="M1145" s="131">
        <v>173318</v>
      </c>
      <c r="N1145" s="223">
        <v>492837</v>
      </c>
      <c r="O1145" s="132" t="s">
        <v>244</v>
      </c>
      <c r="P1145" s="132" t="s">
        <v>245</v>
      </c>
      <c r="Q1145" s="133">
        <v>412</v>
      </c>
      <c r="R1145" s="132" t="s">
        <v>279</v>
      </c>
      <c r="S1145" s="132" t="s">
        <v>11</v>
      </c>
      <c r="T1145" s="134">
        <v>42246</v>
      </c>
      <c r="U1145" s="172">
        <f t="shared" si="61"/>
        <v>2015</v>
      </c>
      <c r="V1145" s="172">
        <f t="shared" si="62"/>
        <v>8</v>
      </c>
      <c r="W1145" s="44" t="s">
        <v>291</v>
      </c>
      <c r="X1145" t="s">
        <v>892</v>
      </c>
      <c r="Y1145">
        <v>1</v>
      </c>
      <c r="AA1145" s="13">
        <f t="shared" si="60"/>
        <v>173318</v>
      </c>
      <c r="AE1145" s="43"/>
      <c r="AL1145" s="87" t="s">
        <v>819</v>
      </c>
      <c r="AM1145" s="86">
        <v>484413</v>
      </c>
    </row>
    <row r="1146" spans="13:39" hidden="1">
      <c r="M1146" s="131">
        <v>175000</v>
      </c>
      <c r="N1146" s="223">
        <v>595331</v>
      </c>
      <c r="O1146" s="132" t="s">
        <v>244</v>
      </c>
      <c r="P1146" s="132" t="s">
        <v>245</v>
      </c>
      <c r="Q1146" s="133">
        <v>1243</v>
      </c>
      <c r="R1146" s="132" t="s">
        <v>279</v>
      </c>
      <c r="S1146" s="132" t="s">
        <v>11</v>
      </c>
      <c r="T1146" s="134">
        <v>42548</v>
      </c>
      <c r="U1146" s="172">
        <f t="shared" si="61"/>
        <v>2016</v>
      </c>
      <c r="V1146" s="172">
        <f t="shared" si="62"/>
        <v>6</v>
      </c>
      <c r="W1146" s="44" t="s">
        <v>280</v>
      </c>
      <c r="X1146" t="s">
        <v>892</v>
      </c>
      <c r="Y1146">
        <v>1</v>
      </c>
      <c r="AA1146" s="13">
        <f t="shared" si="60"/>
        <v>175000</v>
      </c>
      <c r="AE1146" s="43"/>
      <c r="AL1146" s="87" t="s">
        <v>819</v>
      </c>
      <c r="AM1146" s="86">
        <v>484888</v>
      </c>
    </row>
    <row r="1147" spans="13:39" hidden="1">
      <c r="M1147" s="131">
        <v>175000</v>
      </c>
      <c r="N1147" s="223">
        <v>616404</v>
      </c>
      <c r="O1147" s="132" t="s">
        <v>244</v>
      </c>
      <c r="P1147" s="132" t="s">
        <v>245</v>
      </c>
      <c r="Q1147" s="133">
        <v>1350</v>
      </c>
      <c r="R1147" s="132" t="s">
        <v>279</v>
      </c>
      <c r="S1147" s="132" t="s">
        <v>11</v>
      </c>
      <c r="T1147" s="134">
        <v>42548</v>
      </c>
      <c r="U1147" s="172">
        <f t="shared" si="61"/>
        <v>2016</v>
      </c>
      <c r="V1147" s="172">
        <f t="shared" si="62"/>
        <v>6</v>
      </c>
      <c r="W1147" s="44" t="s">
        <v>280</v>
      </c>
      <c r="X1147" t="s">
        <v>892</v>
      </c>
      <c r="Y1147">
        <v>1</v>
      </c>
      <c r="AA1147" s="13">
        <f t="shared" si="60"/>
        <v>175000</v>
      </c>
      <c r="AE1147" s="43"/>
      <c r="AL1147" s="87" t="s">
        <v>819</v>
      </c>
      <c r="AM1147" s="86">
        <v>484908</v>
      </c>
    </row>
    <row r="1148" spans="13:39" hidden="1">
      <c r="M1148" s="131">
        <v>175710</v>
      </c>
      <c r="N1148" s="223">
        <v>558881</v>
      </c>
      <c r="O1148" s="132" t="s">
        <v>244</v>
      </c>
      <c r="P1148" s="132" t="s">
        <v>245</v>
      </c>
      <c r="Q1148" s="133">
        <v>244</v>
      </c>
      <c r="R1148" s="132" t="s">
        <v>279</v>
      </c>
      <c r="S1148" s="132" t="s">
        <v>11</v>
      </c>
      <c r="T1148" s="134">
        <v>42548</v>
      </c>
      <c r="U1148" s="172">
        <f t="shared" si="61"/>
        <v>2016</v>
      </c>
      <c r="V1148" s="172">
        <f t="shared" si="62"/>
        <v>6</v>
      </c>
      <c r="W1148" s="44" t="s">
        <v>280</v>
      </c>
      <c r="X1148" t="s">
        <v>892</v>
      </c>
      <c r="Y1148">
        <v>1</v>
      </c>
      <c r="AA1148" s="13">
        <f t="shared" si="60"/>
        <v>175710</v>
      </c>
      <c r="AE1148" s="43"/>
      <c r="AL1148" s="87" t="s">
        <v>819</v>
      </c>
      <c r="AM1148" s="86">
        <v>484908</v>
      </c>
    </row>
    <row r="1149" spans="13:39" hidden="1">
      <c r="M1149" s="131">
        <v>175730</v>
      </c>
      <c r="N1149" s="223">
        <v>492837</v>
      </c>
      <c r="O1149" s="132" t="s">
        <v>244</v>
      </c>
      <c r="P1149" s="132" t="s">
        <v>245</v>
      </c>
      <c r="Q1149" s="133">
        <v>397</v>
      </c>
      <c r="R1149" s="132" t="s">
        <v>279</v>
      </c>
      <c r="S1149" s="132" t="s">
        <v>11</v>
      </c>
      <c r="T1149" s="134">
        <v>42246</v>
      </c>
      <c r="U1149" s="172">
        <f t="shared" si="61"/>
        <v>2015</v>
      </c>
      <c r="V1149" s="172">
        <f t="shared" si="62"/>
        <v>8</v>
      </c>
      <c r="W1149" s="44" t="s">
        <v>291</v>
      </c>
      <c r="X1149" t="s">
        <v>892</v>
      </c>
      <c r="Y1149">
        <v>1</v>
      </c>
      <c r="AA1149" s="13">
        <f t="shared" si="60"/>
        <v>175730</v>
      </c>
      <c r="AE1149" s="43"/>
      <c r="AL1149" s="87" t="s">
        <v>819</v>
      </c>
      <c r="AM1149" s="86">
        <v>484908</v>
      </c>
    </row>
    <row r="1150" spans="13:39" hidden="1">
      <c r="M1150" s="131">
        <v>176052</v>
      </c>
      <c r="N1150" s="223">
        <v>493333</v>
      </c>
      <c r="O1150" s="132" t="s">
        <v>244</v>
      </c>
      <c r="P1150" s="132" t="s">
        <v>245</v>
      </c>
      <c r="Q1150" s="133">
        <v>52</v>
      </c>
      <c r="R1150" s="132" t="s">
        <v>279</v>
      </c>
      <c r="S1150" s="132" t="s">
        <v>11</v>
      </c>
      <c r="T1150" s="134">
        <v>42246</v>
      </c>
      <c r="U1150" s="172">
        <f t="shared" si="61"/>
        <v>2015</v>
      </c>
      <c r="V1150" s="172">
        <f t="shared" si="62"/>
        <v>8</v>
      </c>
      <c r="W1150" s="44" t="s">
        <v>291</v>
      </c>
      <c r="X1150" t="s">
        <v>892</v>
      </c>
      <c r="Y1150">
        <v>1</v>
      </c>
      <c r="AA1150" s="13">
        <f t="shared" si="60"/>
        <v>176052</v>
      </c>
      <c r="AE1150" s="43"/>
      <c r="AL1150" s="87" t="s">
        <v>819</v>
      </c>
      <c r="AM1150" s="86">
        <v>484908</v>
      </c>
    </row>
    <row r="1151" spans="13:39" hidden="1">
      <c r="M1151" s="131">
        <v>176176</v>
      </c>
      <c r="N1151" s="223">
        <v>493828</v>
      </c>
      <c r="O1151" s="132" t="s">
        <v>244</v>
      </c>
      <c r="P1151" s="132" t="s">
        <v>245</v>
      </c>
      <c r="Q1151" s="133">
        <v>139</v>
      </c>
      <c r="R1151" s="132" t="s">
        <v>279</v>
      </c>
      <c r="S1151" s="132" t="s">
        <v>11</v>
      </c>
      <c r="T1151" s="134">
        <v>42246</v>
      </c>
      <c r="U1151" s="172">
        <f t="shared" si="61"/>
        <v>2015</v>
      </c>
      <c r="V1151" s="172">
        <f t="shared" si="62"/>
        <v>8</v>
      </c>
      <c r="W1151" s="44" t="s">
        <v>291</v>
      </c>
      <c r="X1151" t="s">
        <v>892</v>
      </c>
      <c r="Y1151">
        <v>1</v>
      </c>
      <c r="AA1151" s="13">
        <f t="shared" si="60"/>
        <v>176176</v>
      </c>
      <c r="AE1151" s="43"/>
      <c r="AL1151" s="87" t="s">
        <v>819</v>
      </c>
      <c r="AM1151" s="86">
        <v>484908</v>
      </c>
    </row>
    <row r="1152" spans="13:39" hidden="1">
      <c r="M1152" s="131">
        <v>176492</v>
      </c>
      <c r="N1152" s="223">
        <v>542364</v>
      </c>
      <c r="O1152" s="132" t="s">
        <v>244</v>
      </c>
      <c r="P1152" s="132" t="s">
        <v>245</v>
      </c>
      <c r="Q1152" s="133">
        <v>1161</v>
      </c>
      <c r="R1152" s="132" t="s">
        <v>279</v>
      </c>
      <c r="S1152" s="132" t="s">
        <v>11</v>
      </c>
      <c r="T1152" s="134">
        <v>42548</v>
      </c>
      <c r="U1152" s="172">
        <f t="shared" si="61"/>
        <v>2016</v>
      </c>
      <c r="V1152" s="172">
        <f t="shared" si="62"/>
        <v>6</v>
      </c>
      <c r="W1152" s="44" t="s">
        <v>280</v>
      </c>
      <c r="X1152" t="s">
        <v>892</v>
      </c>
      <c r="Y1152">
        <v>1</v>
      </c>
      <c r="AA1152" s="13">
        <f t="shared" si="60"/>
        <v>176492</v>
      </c>
      <c r="AE1152" s="43"/>
      <c r="AL1152" s="87" t="s">
        <v>819</v>
      </c>
      <c r="AM1152" s="86">
        <v>484908</v>
      </c>
    </row>
    <row r="1153" spans="13:39" hidden="1">
      <c r="M1153" s="131">
        <v>176924</v>
      </c>
      <c r="N1153" s="223">
        <v>491350</v>
      </c>
      <c r="O1153" s="132" t="s">
        <v>244</v>
      </c>
      <c r="P1153" s="132" t="s">
        <v>245</v>
      </c>
      <c r="Q1153" s="133">
        <v>404</v>
      </c>
      <c r="R1153" s="132" t="s">
        <v>279</v>
      </c>
      <c r="S1153" s="132" t="s">
        <v>11</v>
      </c>
      <c r="T1153" s="134">
        <v>42246</v>
      </c>
      <c r="U1153" s="172">
        <f t="shared" si="61"/>
        <v>2015</v>
      </c>
      <c r="V1153" s="172">
        <f t="shared" si="62"/>
        <v>8</v>
      </c>
      <c r="W1153" s="44" t="s">
        <v>291</v>
      </c>
      <c r="X1153" t="s">
        <v>892</v>
      </c>
      <c r="Y1153">
        <v>1</v>
      </c>
      <c r="AA1153" s="13">
        <f t="shared" si="60"/>
        <v>176924</v>
      </c>
      <c r="AE1153" s="43"/>
      <c r="AL1153" s="87" t="s">
        <v>819</v>
      </c>
      <c r="AM1153" s="86">
        <v>484908</v>
      </c>
    </row>
    <row r="1154" spans="13:39" hidden="1">
      <c r="M1154" s="131">
        <v>177055</v>
      </c>
      <c r="N1154" s="223">
        <v>493828</v>
      </c>
      <c r="O1154" s="132" t="s">
        <v>244</v>
      </c>
      <c r="P1154" s="132" t="s">
        <v>245</v>
      </c>
      <c r="Q1154" s="133">
        <v>411</v>
      </c>
      <c r="R1154" s="132" t="s">
        <v>279</v>
      </c>
      <c r="S1154" s="132" t="s">
        <v>11</v>
      </c>
      <c r="T1154" s="134">
        <v>42246</v>
      </c>
      <c r="U1154" s="172">
        <f t="shared" si="61"/>
        <v>2015</v>
      </c>
      <c r="V1154" s="172">
        <f t="shared" si="62"/>
        <v>8</v>
      </c>
      <c r="W1154" s="44" t="s">
        <v>291</v>
      </c>
      <c r="X1154" t="s">
        <v>892</v>
      </c>
      <c r="Y1154">
        <v>1</v>
      </c>
      <c r="AA1154" s="13">
        <f t="shared" si="60"/>
        <v>177055</v>
      </c>
      <c r="AE1154" s="43"/>
      <c r="AL1154" s="87" t="s">
        <v>819</v>
      </c>
      <c r="AM1154" s="86">
        <v>484908</v>
      </c>
    </row>
    <row r="1155" spans="13:39" hidden="1">
      <c r="M1155" s="131">
        <v>177077</v>
      </c>
      <c r="N1155" s="223">
        <v>487385</v>
      </c>
      <c r="O1155" s="132" t="s">
        <v>244</v>
      </c>
      <c r="P1155" s="132" t="s">
        <v>245</v>
      </c>
      <c r="Q1155" s="133">
        <v>465</v>
      </c>
      <c r="R1155" s="132" t="s">
        <v>279</v>
      </c>
      <c r="S1155" s="132" t="s">
        <v>11</v>
      </c>
      <c r="T1155" s="134">
        <v>42246</v>
      </c>
      <c r="U1155" s="172">
        <f t="shared" si="61"/>
        <v>2015</v>
      </c>
      <c r="V1155" s="172">
        <f t="shared" si="62"/>
        <v>8</v>
      </c>
      <c r="W1155" s="44" t="s">
        <v>291</v>
      </c>
      <c r="X1155" t="s">
        <v>892</v>
      </c>
      <c r="Y1155">
        <v>1</v>
      </c>
      <c r="AA1155" s="13">
        <f t="shared" si="60"/>
        <v>177077</v>
      </c>
      <c r="AE1155" s="43"/>
      <c r="AL1155" s="87" t="s">
        <v>819</v>
      </c>
      <c r="AM1155" s="86">
        <v>484908</v>
      </c>
    </row>
    <row r="1156" spans="13:39" hidden="1">
      <c r="M1156" s="131">
        <v>177360</v>
      </c>
      <c r="N1156" s="223">
        <v>490359</v>
      </c>
      <c r="O1156" s="132" t="s">
        <v>244</v>
      </c>
      <c r="P1156" s="132" t="s">
        <v>245</v>
      </c>
      <c r="Q1156" s="133">
        <v>162</v>
      </c>
      <c r="R1156" s="132" t="s">
        <v>279</v>
      </c>
      <c r="S1156" s="132" t="s">
        <v>11</v>
      </c>
      <c r="T1156" s="134">
        <v>42246</v>
      </c>
      <c r="U1156" s="172">
        <f t="shared" si="61"/>
        <v>2015</v>
      </c>
      <c r="V1156" s="172">
        <f t="shared" si="62"/>
        <v>8</v>
      </c>
      <c r="W1156" s="44" t="s">
        <v>291</v>
      </c>
      <c r="X1156" t="s">
        <v>892</v>
      </c>
      <c r="Y1156">
        <v>1</v>
      </c>
      <c r="AA1156" s="13">
        <f t="shared" ref="AA1156:AA1219" si="63">IF(M1156&lt;30000,Y1156*100*M1156*(1-$L$1)-$L$2*Y1156,M1156)</f>
        <v>177360</v>
      </c>
      <c r="AE1156" s="43"/>
      <c r="AL1156" s="87" t="s">
        <v>819</v>
      </c>
      <c r="AM1156" s="86">
        <v>484908</v>
      </c>
    </row>
    <row r="1157" spans="13:39" hidden="1">
      <c r="M1157" s="131">
        <v>177378</v>
      </c>
      <c r="N1157" s="223">
        <v>493333</v>
      </c>
      <c r="O1157" s="132" t="s">
        <v>244</v>
      </c>
      <c r="P1157" s="132" t="s">
        <v>245</v>
      </c>
      <c r="Q1157" s="133">
        <v>161</v>
      </c>
      <c r="R1157" s="132" t="s">
        <v>279</v>
      </c>
      <c r="S1157" s="132" t="s">
        <v>11</v>
      </c>
      <c r="T1157" s="134">
        <v>42246</v>
      </c>
      <c r="U1157" s="172">
        <f t="shared" si="61"/>
        <v>2015</v>
      </c>
      <c r="V1157" s="172">
        <f t="shared" si="62"/>
        <v>8</v>
      </c>
      <c r="W1157" s="44" t="s">
        <v>291</v>
      </c>
      <c r="X1157" t="s">
        <v>892</v>
      </c>
      <c r="Y1157">
        <v>1</v>
      </c>
      <c r="AA1157" s="13">
        <f t="shared" si="63"/>
        <v>177378</v>
      </c>
      <c r="AE1157" s="43"/>
      <c r="AL1157" s="87" t="s">
        <v>819</v>
      </c>
      <c r="AM1157" s="86">
        <v>484908</v>
      </c>
    </row>
    <row r="1158" spans="13:39" hidden="1">
      <c r="M1158" s="131">
        <v>177644</v>
      </c>
      <c r="N1158" s="223">
        <v>513156</v>
      </c>
      <c r="O1158" s="132" t="s">
        <v>244</v>
      </c>
      <c r="P1158" s="132" t="s">
        <v>245</v>
      </c>
      <c r="Q1158" s="133">
        <v>218</v>
      </c>
      <c r="R1158" s="132" t="s">
        <v>279</v>
      </c>
      <c r="S1158" s="132" t="s">
        <v>11</v>
      </c>
      <c r="T1158" s="134">
        <v>42246</v>
      </c>
      <c r="U1158" s="172">
        <f t="shared" si="61"/>
        <v>2015</v>
      </c>
      <c r="V1158" s="172">
        <f t="shared" si="62"/>
        <v>8</v>
      </c>
      <c r="W1158" s="44" t="s">
        <v>291</v>
      </c>
      <c r="X1158" t="s">
        <v>892</v>
      </c>
      <c r="Y1158">
        <v>1</v>
      </c>
      <c r="AA1158" s="13">
        <f t="shared" si="63"/>
        <v>177644</v>
      </c>
      <c r="AE1158" s="43"/>
      <c r="AL1158" s="87" t="s">
        <v>819</v>
      </c>
      <c r="AM1158" s="86">
        <v>484908</v>
      </c>
    </row>
    <row r="1159" spans="13:39" hidden="1">
      <c r="M1159" s="131">
        <v>178280</v>
      </c>
      <c r="N1159" s="223">
        <v>565715</v>
      </c>
      <c r="O1159" s="132" t="s">
        <v>244</v>
      </c>
      <c r="P1159" s="132" t="s">
        <v>245</v>
      </c>
      <c r="Q1159" s="133">
        <v>1094</v>
      </c>
      <c r="R1159" s="132" t="s">
        <v>279</v>
      </c>
      <c r="S1159" s="132" t="s">
        <v>11</v>
      </c>
      <c r="T1159" s="134">
        <v>42548</v>
      </c>
      <c r="U1159" s="172">
        <f t="shared" ref="U1159:U1222" si="64">YEAR($T1159)</f>
        <v>2016</v>
      </c>
      <c r="V1159" s="172">
        <f t="shared" ref="V1159:V1222" si="65">MONTH($T1159)</f>
        <v>6</v>
      </c>
      <c r="W1159" s="44" t="s">
        <v>280</v>
      </c>
      <c r="X1159" t="s">
        <v>892</v>
      </c>
      <c r="Y1159">
        <v>1</v>
      </c>
      <c r="AA1159" s="13">
        <f t="shared" si="63"/>
        <v>178280</v>
      </c>
      <c r="AE1159" s="43"/>
      <c r="AL1159" s="87" t="s">
        <v>819</v>
      </c>
      <c r="AM1159" s="86">
        <v>484908</v>
      </c>
    </row>
    <row r="1160" spans="13:39" hidden="1">
      <c r="M1160" s="131">
        <v>178371</v>
      </c>
      <c r="N1160" s="223">
        <v>573120</v>
      </c>
      <c r="O1160" s="132" t="s">
        <v>244</v>
      </c>
      <c r="P1160" s="132" t="s">
        <v>245</v>
      </c>
      <c r="Q1160" s="133">
        <v>1496</v>
      </c>
      <c r="R1160" s="132" t="s">
        <v>279</v>
      </c>
      <c r="S1160" s="132" t="s">
        <v>11</v>
      </c>
      <c r="T1160" s="134">
        <v>42548</v>
      </c>
      <c r="U1160" s="172">
        <f t="shared" si="64"/>
        <v>2016</v>
      </c>
      <c r="V1160" s="172">
        <f t="shared" si="65"/>
        <v>6</v>
      </c>
      <c r="W1160" s="44" t="s">
        <v>280</v>
      </c>
      <c r="X1160" t="s">
        <v>892</v>
      </c>
      <c r="Y1160">
        <v>1</v>
      </c>
      <c r="AA1160" s="13">
        <f t="shared" si="63"/>
        <v>178371</v>
      </c>
      <c r="AE1160" s="43"/>
      <c r="AL1160" s="87" t="s">
        <v>819</v>
      </c>
      <c r="AM1160" s="86">
        <v>484908</v>
      </c>
    </row>
    <row r="1161" spans="13:39" hidden="1">
      <c r="M1161" s="131">
        <v>181000</v>
      </c>
      <c r="N1161" s="223">
        <v>500271</v>
      </c>
      <c r="O1161" s="132" t="s">
        <v>244</v>
      </c>
      <c r="P1161" s="132" t="s">
        <v>245</v>
      </c>
      <c r="Q1161" s="133">
        <v>57</v>
      </c>
      <c r="R1161" s="132" t="s">
        <v>279</v>
      </c>
      <c r="S1161" s="132" t="s">
        <v>11</v>
      </c>
      <c r="T1161" s="134">
        <v>42246</v>
      </c>
      <c r="U1161" s="172">
        <f t="shared" si="64"/>
        <v>2015</v>
      </c>
      <c r="V1161" s="172">
        <f t="shared" si="65"/>
        <v>8</v>
      </c>
      <c r="W1161" s="44" t="s">
        <v>291</v>
      </c>
      <c r="X1161" t="s">
        <v>892</v>
      </c>
      <c r="Y1161">
        <v>1</v>
      </c>
      <c r="AA1161" s="13">
        <f t="shared" si="63"/>
        <v>181000</v>
      </c>
      <c r="AE1161" s="43"/>
      <c r="AL1161" s="87" t="s">
        <v>819</v>
      </c>
      <c r="AM1161" s="86">
        <v>484908</v>
      </c>
    </row>
    <row r="1162" spans="13:39" hidden="1">
      <c r="M1162" s="131">
        <v>181030</v>
      </c>
      <c r="N1162" s="223">
        <v>487385</v>
      </c>
      <c r="O1162" s="132" t="s">
        <v>244</v>
      </c>
      <c r="P1162" s="132" t="s">
        <v>245</v>
      </c>
      <c r="Q1162" s="133">
        <v>193</v>
      </c>
      <c r="R1162" s="132" t="s">
        <v>279</v>
      </c>
      <c r="S1162" s="132" t="s">
        <v>11</v>
      </c>
      <c r="T1162" s="134">
        <v>42246</v>
      </c>
      <c r="U1162" s="172">
        <f t="shared" si="64"/>
        <v>2015</v>
      </c>
      <c r="V1162" s="172">
        <f t="shared" si="65"/>
        <v>8</v>
      </c>
      <c r="W1162" s="44" t="s">
        <v>291</v>
      </c>
      <c r="X1162" t="s">
        <v>892</v>
      </c>
      <c r="Y1162">
        <v>1</v>
      </c>
      <c r="AA1162" s="13">
        <f t="shared" si="63"/>
        <v>181030</v>
      </c>
      <c r="AE1162" s="43"/>
      <c r="AL1162" s="87" t="s">
        <v>819</v>
      </c>
      <c r="AM1162" s="86">
        <v>485403</v>
      </c>
    </row>
    <row r="1163" spans="13:39" hidden="1">
      <c r="M1163" s="131">
        <v>181818</v>
      </c>
      <c r="N1163" s="223">
        <v>491845</v>
      </c>
      <c r="O1163" s="132" t="s">
        <v>244</v>
      </c>
      <c r="P1163" s="132" t="s">
        <v>245</v>
      </c>
      <c r="Q1163" s="133">
        <v>109</v>
      </c>
      <c r="R1163" s="132" t="s">
        <v>279</v>
      </c>
      <c r="S1163" s="132" t="s">
        <v>11</v>
      </c>
      <c r="T1163" s="134">
        <v>42246</v>
      </c>
      <c r="U1163" s="172">
        <f t="shared" si="64"/>
        <v>2015</v>
      </c>
      <c r="V1163" s="172">
        <f t="shared" si="65"/>
        <v>8</v>
      </c>
      <c r="W1163" s="44" t="s">
        <v>291</v>
      </c>
      <c r="X1163" t="s">
        <v>892</v>
      </c>
      <c r="Y1163">
        <v>1</v>
      </c>
      <c r="AA1163" s="13">
        <f t="shared" si="63"/>
        <v>181818</v>
      </c>
      <c r="AE1163" s="43"/>
      <c r="AL1163" s="87" t="s">
        <v>819</v>
      </c>
      <c r="AM1163" s="86">
        <v>485403</v>
      </c>
    </row>
    <row r="1164" spans="13:39" hidden="1">
      <c r="M1164" s="131">
        <v>182000</v>
      </c>
      <c r="N1164" s="223">
        <v>431809</v>
      </c>
      <c r="O1164" s="132" t="s">
        <v>244</v>
      </c>
      <c r="P1164" s="132" t="s">
        <v>245</v>
      </c>
      <c r="Q1164" s="133">
        <v>143</v>
      </c>
      <c r="R1164" s="132" t="s">
        <v>289</v>
      </c>
      <c r="S1164" s="132" t="s">
        <v>11</v>
      </c>
      <c r="T1164" s="134">
        <v>41652</v>
      </c>
      <c r="U1164" s="172">
        <f t="shared" si="64"/>
        <v>2014</v>
      </c>
      <c r="V1164" s="172">
        <f t="shared" si="65"/>
        <v>1</v>
      </c>
      <c r="W1164" s="44" t="s">
        <v>316</v>
      </c>
      <c r="X1164" t="s">
        <v>894</v>
      </c>
      <c r="Y1164">
        <v>1</v>
      </c>
      <c r="AA1164" s="13">
        <f t="shared" si="63"/>
        <v>182000</v>
      </c>
      <c r="AE1164" s="43"/>
      <c r="AL1164" s="87" t="s">
        <v>819</v>
      </c>
      <c r="AM1164" s="86">
        <v>485403</v>
      </c>
    </row>
    <row r="1165" spans="13:39" hidden="1">
      <c r="M1165" s="131">
        <v>182100</v>
      </c>
      <c r="N1165" s="223">
        <v>485899</v>
      </c>
      <c r="O1165" s="132" t="s">
        <v>244</v>
      </c>
      <c r="P1165" s="132" t="s">
        <v>245</v>
      </c>
      <c r="Q1165" s="133">
        <v>482</v>
      </c>
      <c r="R1165" s="132" t="s">
        <v>279</v>
      </c>
      <c r="S1165" s="132" t="s">
        <v>11</v>
      </c>
      <c r="T1165" s="134">
        <v>42246</v>
      </c>
      <c r="U1165" s="172">
        <f t="shared" si="64"/>
        <v>2015</v>
      </c>
      <c r="V1165" s="172">
        <f t="shared" si="65"/>
        <v>8</v>
      </c>
      <c r="W1165" s="44" t="s">
        <v>291</v>
      </c>
      <c r="X1165" t="s">
        <v>892</v>
      </c>
      <c r="Y1165">
        <v>1</v>
      </c>
      <c r="AA1165" s="13">
        <f t="shared" si="63"/>
        <v>182100</v>
      </c>
      <c r="AE1165" s="43"/>
      <c r="AL1165" s="87" t="s">
        <v>819</v>
      </c>
      <c r="AM1165" s="86">
        <v>485403</v>
      </c>
    </row>
    <row r="1166" spans="13:39" hidden="1">
      <c r="M1166" s="131">
        <v>182182</v>
      </c>
      <c r="N1166" s="223">
        <v>481934</v>
      </c>
      <c r="O1166" s="132" t="s">
        <v>244</v>
      </c>
      <c r="P1166" s="132" t="s">
        <v>245</v>
      </c>
      <c r="Q1166" s="133">
        <v>149</v>
      </c>
      <c r="R1166" s="132" t="s">
        <v>279</v>
      </c>
      <c r="S1166" s="132" t="s">
        <v>11</v>
      </c>
      <c r="T1166" s="134">
        <v>42246</v>
      </c>
      <c r="U1166" s="172">
        <f t="shared" si="64"/>
        <v>2015</v>
      </c>
      <c r="V1166" s="172">
        <f t="shared" si="65"/>
        <v>8</v>
      </c>
      <c r="W1166" s="44" t="s">
        <v>291</v>
      </c>
      <c r="X1166" t="s">
        <v>892</v>
      </c>
      <c r="Y1166">
        <v>1</v>
      </c>
      <c r="AA1166" s="13">
        <f t="shared" si="63"/>
        <v>182182</v>
      </c>
      <c r="AE1166" s="43"/>
      <c r="AL1166" s="87" t="s">
        <v>819</v>
      </c>
      <c r="AM1166" s="86">
        <v>485403</v>
      </c>
    </row>
    <row r="1167" spans="13:39" hidden="1">
      <c r="M1167" s="131">
        <v>183100</v>
      </c>
      <c r="N1167" s="223">
        <v>485403</v>
      </c>
      <c r="O1167" s="132" t="s">
        <v>244</v>
      </c>
      <c r="P1167" s="132" t="s">
        <v>245</v>
      </c>
      <c r="Q1167" s="133">
        <v>484</v>
      </c>
      <c r="R1167" s="132" t="s">
        <v>279</v>
      </c>
      <c r="S1167" s="132" t="s">
        <v>11</v>
      </c>
      <c r="T1167" s="134">
        <v>42246</v>
      </c>
      <c r="U1167" s="172">
        <f t="shared" si="64"/>
        <v>2015</v>
      </c>
      <c r="V1167" s="172">
        <f t="shared" si="65"/>
        <v>8</v>
      </c>
      <c r="W1167" s="44" t="s">
        <v>291</v>
      </c>
      <c r="X1167" t="s">
        <v>892</v>
      </c>
      <c r="Y1167">
        <v>1</v>
      </c>
      <c r="AA1167" s="13">
        <f t="shared" si="63"/>
        <v>183100</v>
      </c>
      <c r="AE1167" s="43"/>
      <c r="AL1167" s="87" t="s">
        <v>819</v>
      </c>
      <c r="AM1167" s="86">
        <v>485403</v>
      </c>
    </row>
    <row r="1168" spans="13:39" hidden="1">
      <c r="M1168" s="131">
        <v>185075</v>
      </c>
      <c r="N1168" s="223">
        <v>518608</v>
      </c>
      <c r="O1168" s="132" t="s">
        <v>244</v>
      </c>
      <c r="P1168" s="132" t="s">
        <v>245</v>
      </c>
      <c r="Q1168" s="133">
        <v>134</v>
      </c>
      <c r="R1168" s="132" t="s">
        <v>279</v>
      </c>
      <c r="S1168" s="132" t="s">
        <v>11</v>
      </c>
      <c r="T1168" s="134">
        <v>42246</v>
      </c>
      <c r="U1168" s="172">
        <f t="shared" si="64"/>
        <v>2015</v>
      </c>
      <c r="V1168" s="172">
        <f t="shared" si="65"/>
        <v>8</v>
      </c>
      <c r="W1168" s="44" t="s">
        <v>291</v>
      </c>
      <c r="X1168" t="s">
        <v>892</v>
      </c>
      <c r="Y1168">
        <v>1</v>
      </c>
      <c r="AA1168" s="13">
        <f t="shared" si="63"/>
        <v>185075</v>
      </c>
      <c r="AE1168" s="43"/>
      <c r="AL1168" s="87" t="s">
        <v>819</v>
      </c>
      <c r="AM1168" s="86">
        <v>485578</v>
      </c>
    </row>
    <row r="1169" spans="13:39" hidden="1">
      <c r="M1169" s="131">
        <v>185101</v>
      </c>
      <c r="N1169" s="223">
        <v>541901</v>
      </c>
      <c r="O1169" s="132" t="s">
        <v>244</v>
      </c>
      <c r="P1169" s="132" t="s">
        <v>245</v>
      </c>
      <c r="Q1169" s="133">
        <v>421</v>
      </c>
      <c r="R1169" s="132" t="s">
        <v>279</v>
      </c>
      <c r="S1169" s="132" t="s">
        <v>11</v>
      </c>
      <c r="T1169" s="134">
        <v>42246</v>
      </c>
      <c r="U1169" s="172">
        <f t="shared" si="64"/>
        <v>2015</v>
      </c>
      <c r="V1169" s="172">
        <f t="shared" si="65"/>
        <v>8</v>
      </c>
      <c r="W1169" s="44" t="s">
        <v>291</v>
      </c>
      <c r="X1169" t="s">
        <v>892</v>
      </c>
      <c r="Y1169">
        <v>1</v>
      </c>
      <c r="AA1169" s="13">
        <f t="shared" si="63"/>
        <v>185101</v>
      </c>
      <c r="AE1169" s="43"/>
      <c r="AL1169" s="87" t="s">
        <v>819</v>
      </c>
      <c r="AM1169" s="86">
        <v>485899</v>
      </c>
    </row>
    <row r="1170" spans="13:39" hidden="1">
      <c r="M1170" s="131">
        <v>185600</v>
      </c>
      <c r="N1170" s="223">
        <v>490854</v>
      </c>
      <c r="O1170" s="132" t="s">
        <v>244</v>
      </c>
      <c r="P1170" s="132" t="s">
        <v>245</v>
      </c>
      <c r="Q1170" s="133">
        <v>533</v>
      </c>
      <c r="R1170" s="132" t="s">
        <v>279</v>
      </c>
      <c r="S1170" s="132" t="s">
        <v>11</v>
      </c>
      <c r="T1170" s="134">
        <v>42246</v>
      </c>
      <c r="U1170" s="172">
        <f t="shared" si="64"/>
        <v>2015</v>
      </c>
      <c r="V1170" s="172">
        <f t="shared" si="65"/>
        <v>8</v>
      </c>
      <c r="W1170" s="44" t="s">
        <v>291</v>
      </c>
      <c r="X1170" t="s">
        <v>892</v>
      </c>
      <c r="Y1170">
        <v>1</v>
      </c>
      <c r="AA1170" s="13">
        <f t="shared" si="63"/>
        <v>185600</v>
      </c>
      <c r="AE1170" s="43"/>
      <c r="AL1170" s="87" t="s">
        <v>819</v>
      </c>
      <c r="AM1170" s="86">
        <v>485899</v>
      </c>
    </row>
    <row r="1171" spans="13:39" hidden="1">
      <c r="M1171" s="131">
        <v>188000</v>
      </c>
      <c r="N1171" s="223">
        <v>481934</v>
      </c>
      <c r="O1171" s="132" t="s">
        <v>244</v>
      </c>
      <c r="P1171" s="132" t="s">
        <v>245</v>
      </c>
      <c r="Q1171" s="133">
        <v>91</v>
      </c>
      <c r="R1171" s="132" t="s">
        <v>279</v>
      </c>
      <c r="S1171" s="132" t="s">
        <v>11</v>
      </c>
      <c r="T1171" s="134">
        <v>42246</v>
      </c>
      <c r="U1171" s="172">
        <f t="shared" si="64"/>
        <v>2015</v>
      </c>
      <c r="V1171" s="172">
        <f t="shared" si="65"/>
        <v>8</v>
      </c>
      <c r="W1171" s="44" t="s">
        <v>291</v>
      </c>
      <c r="X1171" t="s">
        <v>892</v>
      </c>
      <c r="Y1171">
        <v>1</v>
      </c>
      <c r="AA1171" s="13">
        <f t="shared" si="63"/>
        <v>188000</v>
      </c>
      <c r="AE1171" s="43"/>
      <c r="AL1171" s="87" t="s">
        <v>819</v>
      </c>
      <c r="AM1171" s="86">
        <v>485899</v>
      </c>
    </row>
    <row r="1172" spans="13:39" hidden="1">
      <c r="M1172" s="131">
        <v>189000</v>
      </c>
      <c r="N1172" s="223">
        <v>562868</v>
      </c>
      <c r="O1172" s="132" t="s">
        <v>244</v>
      </c>
      <c r="P1172" s="132" t="s">
        <v>245</v>
      </c>
      <c r="Q1172" s="133">
        <v>301</v>
      </c>
      <c r="R1172" s="132" t="s">
        <v>279</v>
      </c>
      <c r="S1172" s="132" t="s">
        <v>11</v>
      </c>
      <c r="T1172" s="134">
        <v>42548</v>
      </c>
      <c r="U1172" s="172">
        <f t="shared" si="64"/>
        <v>2016</v>
      </c>
      <c r="V1172" s="172">
        <f t="shared" si="65"/>
        <v>6</v>
      </c>
      <c r="W1172" s="44" t="s">
        <v>280</v>
      </c>
      <c r="X1172" t="s">
        <v>892</v>
      </c>
      <c r="Y1172">
        <v>1</v>
      </c>
      <c r="AA1172" s="13">
        <f t="shared" si="63"/>
        <v>189000</v>
      </c>
      <c r="AE1172" s="43"/>
      <c r="AL1172" s="87" t="s">
        <v>819</v>
      </c>
      <c r="AM1172" s="86">
        <v>485899</v>
      </c>
    </row>
    <row r="1173" spans="13:39" hidden="1">
      <c r="M1173" s="131">
        <v>189055</v>
      </c>
      <c r="N1173" s="223">
        <v>577584</v>
      </c>
      <c r="O1173" s="132" t="s">
        <v>244</v>
      </c>
      <c r="P1173" s="132" t="s">
        <v>245</v>
      </c>
      <c r="Q1173" s="133">
        <v>156</v>
      </c>
      <c r="R1173" s="132" t="s">
        <v>279</v>
      </c>
      <c r="S1173" s="132" t="s">
        <v>11</v>
      </c>
      <c r="T1173" s="134">
        <v>42246</v>
      </c>
      <c r="U1173" s="172">
        <f t="shared" si="64"/>
        <v>2015</v>
      </c>
      <c r="V1173" s="172">
        <f t="shared" si="65"/>
        <v>8</v>
      </c>
      <c r="W1173" s="44" t="s">
        <v>291</v>
      </c>
      <c r="X1173" t="s">
        <v>892</v>
      </c>
      <c r="Y1173">
        <v>1</v>
      </c>
      <c r="AA1173" s="13">
        <f t="shared" si="63"/>
        <v>189055</v>
      </c>
      <c r="AE1173" s="43"/>
      <c r="AL1173" s="87" t="s">
        <v>819</v>
      </c>
      <c r="AM1173" s="86">
        <v>485899</v>
      </c>
    </row>
    <row r="1174" spans="13:39" hidden="1">
      <c r="M1174" s="131">
        <v>191556</v>
      </c>
      <c r="N1174" s="223">
        <v>712653</v>
      </c>
      <c r="O1174" s="132" t="s">
        <v>244</v>
      </c>
      <c r="P1174" s="132" t="s">
        <v>245</v>
      </c>
      <c r="Q1174" s="133">
        <v>1478</v>
      </c>
      <c r="R1174" s="132" t="s">
        <v>279</v>
      </c>
      <c r="S1174" s="132" t="s">
        <v>11</v>
      </c>
      <c r="T1174" s="134">
        <v>42548</v>
      </c>
      <c r="U1174" s="172">
        <f t="shared" si="64"/>
        <v>2016</v>
      </c>
      <c r="V1174" s="172">
        <f t="shared" si="65"/>
        <v>6</v>
      </c>
      <c r="W1174" s="44" t="s">
        <v>280</v>
      </c>
      <c r="X1174" t="s">
        <v>892</v>
      </c>
      <c r="Y1174">
        <v>1</v>
      </c>
      <c r="AA1174" s="13">
        <f t="shared" si="63"/>
        <v>191556</v>
      </c>
      <c r="AE1174" s="43"/>
      <c r="AL1174" s="87" t="s">
        <v>819</v>
      </c>
      <c r="AM1174" s="86">
        <v>485899</v>
      </c>
    </row>
    <row r="1175" spans="13:39" hidden="1">
      <c r="M1175" s="131">
        <v>192000</v>
      </c>
      <c r="N1175" s="223">
        <v>484413</v>
      </c>
      <c r="O1175" s="132" t="s">
        <v>244</v>
      </c>
      <c r="P1175" s="132" t="s">
        <v>245</v>
      </c>
      <c r="Q1175" s="133">
        <v>367</v>
      </c>
      <c r="R1175" s="132" t="s">
        <v>279</v>
      </c>
      <c r="S1175" s="132" t="s">
        <v>11</v>
      </c>
      <c r="T1175" s="134">
        <v>42246</v>
      </c>
      <c r="U1175" s="172">
        <f t="shared" si="64"/>
        <v>2015</v>
      </c>
      <c r="V1175" s="172">
        <f t="shared" si="65"/>
        <v>8</v>
      </c>
      <c r="W1175" s="44" t="s">
        <v>291</v>
      </c>
      <c r="X1175" t="s">
        <v>892</v>
      </c>
      <c r="Y1175">
        <v>1</v>
      </c>
      <c r="AA1175" s="13">
        <f t="shared" si="63"/>
        <v>192000</v>
      </c>
      <c r="AE1175" s="43"/>
      <c r="AL1175" s="87" t="s">
        <v>819</v>
      </c>
      <c r="AM1175" s="86">
        <v>485899</v>
      </c>
    </row>
    <row r="1176" spans="13:39" hidden="1">
      <c r="M1176" s="131">
        <v>192800</v>
      </c>
      <c r="N1176" s="223">
        <v>487385</v>
      </c>
      <c r="O1176" s="132" t="s">
        <v>244</v>
      </c>
      <c r="P1176" s="132" t="s">
        <v>245</v>
      </c>
      <c r="Q1176" s="133">
        <v>195</v>
      </c>
      <c r="R1176" s="132" t="s">
        <v>279</v>
      </c>
      <c r="S1176" s="132" t="s">
        <v>11</v>
      </c>
      <c r="T1176" s="134">
        <v>42246</v>
      </c>
      <c r="U1176" s="172">
        <f t="shared" si="64"/>
        <v>2015</v>
      </c>
      <c r="V1176" s="172">
        <f t="shared" si="65"/>
        <v>8</v>
      </c>
      <c r="W1176" s="44" t="s">
        <v>291</v>
      </c>
      <c r="X1176" t="s">
        <v>892</v>
      </c>
      <c r="Y1176">
        <v>1</v>
      </c>
      <c r="AA1176" s="13">
        <f t="shared" si="63"/>
        <v>192800</v>
      </c>
      <c r="AE1176" s="43"/>
      <c r="AL1176" s="87" t="s">
        <v>819</v>
      </c>
      <c r="AM1176" s="86">
        <v>485899</v>
      </c>
    </row>
    <row r="1177" spans="13:39" hidden="1">
      <c r="M1177" s="131">
        <v>193200</v>
      </c>
      <c r="N1177" s="223">
        <v>492342</v>
      </c>
      <c r="O1177" s="132" t="s">
        <v>244</v>
      </c>
      <c r="P1177" s="132" t="s">
        <v>245</v>
      </c>
      <c r="Q1177" s="133">
        <v>430</v>
      </c>
      <c r="R1177" s="132" t="s">
        <v>279</v>
      </c>
      <c r="S1177" s="132" t="s">
        <v>11</v>
      </c>
      <c r="T1177" s="134">
        <v>42246</v>
      </c>
      <c r="U1177" s="172">
        <f t="shared" si="64"/>
        <v>2015</v>
      </c>
      <c r="V1177" s="172">
        <f t="shared" si="65"/>
        <v>8</v>
      </c>
      <c r="W1177" s="44" t="s">
        <v>291</v>
      </c>
      <c r="X1177" t="s">
        <v>892</v>
      </c>
      <c r="Y1177">
        <v>1</v>
      </c>
      <c r="AA1177" s="13">
        <f t="shared" si="63"/>
        <v>193200</v>
      </c>
      <c r="AE1177" s="43"/>
      <c r="AL1177" s="87" t="s">
        <v>819</v>
      </c>
      <c r="AM1177" s="86">
        <v>485899</v>
      </c>
    </row>
    <row r="1178" spans="13:39" hidden="1">
      <c r="M1178" s="131">
        <v>193717</v>
      </c>
      <c r="N1178" s="223">
        <v>489368</v>
      </c>
      <c r="O1178" s="132" t="s">
        <v>244</v>
      </c>
      <c r="P1178" s="132" t="s">
        <v>245</v>
      </c>
      <c r="Q1178" s="133">
        <v>323</v>
      </c>
      <c r="R1178" s="132" t="s">
        <v>279</v>
      </c>
      <c r="S1178" s="132" t="s">
        <v>11</v>
      </c>
      <c r="T1178" s="134">
        <v>42246</v>
      </c>
      <c r="U1178" s="172">
        <f t="shared" si="64"/>
        <v>2015</v>
      </c>
      <c r="V1178" s="172">
        <f t="shared" si="65"/>
        <v>8</v>
      </c>
      <c r="W1178" s="44" t="s">
        <v>291</v>
      </c>
      <c r="X1178" t="s">
        <v>892</v>
      </c>
      <c r="Y1178">
        <v>1</v>
      </c>
      <c r="AA1178" s="13">
        <f t="shared" si="63"/>
        <v>193717</v>
      </c>
      <c r="AE1178" s="43"/>
      <c r="AL1178" s="87" t="s">
        <v>819</v>
      </c>
      <c r="AM1178" s="86">
        <v>485899</v>
      </c>
    </row>
    <row r="1179" spans="13:39" hidden="1">
      <c r="M1179" s="131">
        <v>194753</v>
      </c>
      <c r="N1179" s="223">
        <v>509191</v>
      </c>
      <c r="O1179" s="132" t="s">
        <v>244</v>
      </c>
      <c r="P1179" s="132" t="s">
        <v>245</v>
      </c>
      <c r="Q1179" s="133">
        <v>497</v>
      </c>
      <c r="R1179" s="132" t="s">
        <v>279</v>
      </c>
      <c r="S1179" s="132" t="s">
        <v>11</v>
      </c>
      <c r="T1179" s="134">
        <v>42246</v>
      </c>
      <c r="U1179" s="172">
        <f t="shared" si="64"/>
        <v>2015</v>
      </c>
      <c r="V1179" s="172">
        <f t="shared" si="65"/>
        <v>8</v>
      </c>
      <c r="W1179" s="44" t="s">
        <v>291</v>
      </c>
      <c r="X1179" t="s">
        <v>892</v>
      </c>
      <c r="Y1179">
        <v>1</v>
      </c>
      <c r="AA1179" s="13">
        <f t="shared" si="63"/>
        <v>194753</v>
      </c>
      <c r="AE1179" s="43"/>
      <c r="AL1179" s="87" t="s">
        <v>819</v>
      </c>
      <c r="AM1179" s="86">
        <v>485899</v>
      </c>
    </row>
    <row r="1180" spans="13:39" hidden="1">
      <c r="M1180" s="131">
        <v>194753</v>
      </c>
      <c r="N1180" s="223">
        <v>509191</v>
      </c>
      <c r="O1180" s="132" t="s">
        <v>244</v>
      </c>
      <c r="P1180" s="132" t="s">
        <v>245</v>
      </c>
      <c r="Q1180" s="133">
        <v>500</v>
      </c>
      <c r="R1180" s="132" t="s">
        <v>279</v>
      </c>
      <c r="S1180" s="132" t="s">
        <v>11</v>
      </c>
      <c r="T1180" s="134">
        <v>42246</v>
      </c>
      <c r="U1180" s="172">
        <f t="shared" si="64"/>
        <v>2015</v>
      </c>
      <c r="V1180" s="172">
        <f t="shared" si="65"/>
        <v>8</v>
      </c>
      <c r="W1180" s="44" t="s">
        <v>291</v>
      </c>
      <c r="X1180" t="s">
        <v>892</v>
      </c>
      <c r="Y1180">
        <v>1</v>
      </c>
      <c r="AA1180" s="13">
        <f t="shared" si="63"/>
        <v>194753</v>
      </c>
      <c r="AE1180" s="43"/>
      <c r="AL1180" s="87" t="s">
        <v>819</v>
      </c>
      <c r="AM1180" s="86">
        <v>485899</v>
      </c>
    </row>
    <row r="1181" spans="13:39" hidden="1">
      <c r="M1181" s="131">
        <v>195000</v>
      </c>
      <c r="N1181" s="223">
        <v>490359</v>
      </c>
      <c r="O1181" s="132" t="s">
        <v>244</v>
      </c>
      <c r="P1181" s="132" t="s">
        <v>245</v>
      </c>
      <c r="Q1181" s="133">
        <v>417</v>
      </c>
      <c r="R1181" s="132" t="s">
        <v>279</v>
      </c>
      <c r="S1181" s="132" t="s">
        <v>11</v>
      </c>
      <c r="T1181" s="134">
        <v>42246</v>
      </c>
      <c r="U1181" s="172">
        <f t="shared" si="64"/>
        <v>2015</v>
      </c>
      <c r="V1181" s="172">
        <f t="shared" si="65"/>
        <v>8</v>
      </c>
      <c r="W1181" s="44" t="s">
        <v>291</v>
      </c>
      <c r="X1181" t="s">
        <v>892</v>
      </c>
      <c r="Y1181">
        <v>1</v>
      </c>
      <c r="AA1181" s="13">
        <f t="shared" si="63"/>
        <v>195000</v>
      </c>
      <c r="AE1181" s="43"/>
      <c r="AL1181" s="87" t="s">
        <v>819</v>
      </c>
      <c r="AM1181" s="86">
        <v>485899</v>
      </c>
    </row>
    <row r="1182" spans="13:39" hidden="1">
      <c r="M1182" s="131">
        <v>197000</v>
      </c>
      <c r="N1182" s="223">
        <v>491350</v>
      </c>
      <c r="O1182" s="132" t="s">
        <v>244</v>
      </c>
      <c r="P1182" s="132" t="s">
        <v>245</v>
      </c>
      <c r="Q1182" s="133">
        <v>420</v>
      </c>
      <c r="R1182" s="132" t="s">
        <v>279</v>
      </c>
      <c r="S1182" s="132" t="s">
        <v>11</v>
      </c>
      <c r="T1182" s="134">
        <v>42246</v>
      </c>
      <c r="U1182" s="172">
        <f t="shared" si="64"/>
        <v>2015</v>
      </c>
      <c r="V1182" s="172">
        <f t="shared" si="65"/>
        <v>8</v>
      </c>
      <c r="W1182" s="44" t="s">
        <v>291</v>
      </c>
      <c r="X1182" t="s">
        <v>892</v>
      </c>
      <c r="Y1182">
        <v>1</v>
      </c>
      <c r="AA1182" s="13">
        <f t="shared" si="63"/>
        <v>197000</v>
      </c>
      <c r="AE1182" s="43"/>
      <c r="AL1182" s="87" t="s">
        <v>819</v>
      </c>
      <c r="AM1182" s="86">
        <v>486147</v>
      </c>
    </row>
    <row r="1183" spans="13:39" hidden="1">
      <c r="M1183" s="131">
        <v>197124</v>
      </c>
      <c r="N1183" s="223">
        <v>482925</v>
      </c>
      <c r="O1183" s="132" t="s">
        <v>244</v>
      </c>
      <c r="P1183" s="132" t="s">
        <v>245</v>
      </c>
      <c r="Q1183" s="133">
        <v>388</v>
      </c>
      <c r="R1183" s="132" t="s">
        <v>279</v>
      </c>
      <c r="S1183" s="132" t="s">
        <v>11</v>
      </c>
      <c r="T1183" s="134">
        <v>42246</v>
      </c>
      <c r="U1183" s="172">
        <f t="shared" si="64"/>
        <v>2015</v>
      </c>
      <c r="V1183" s="172">
        <f t="shared" si="65"/>
        <v>8</v>
      </c>
      <c r="W1183" s="44" t="s">
        <v>291</v>
      </c>
      <c r="X1183" t="s">
        <v>892</v>
      </c>
      <c r="Y1183">
        <v>1</v>
      </c>
      <c r="AA1183" s="13">
        <f t="shared" si="63"/>
        <v>197124</v>
      </c>
      <c r="AE1183" s="43"/>
      <c r="AL1183" s="87" t="s">
        <v>819</v>
      </c>
      <c r="AM1183" s="86">
        <v>486147</v>
      </c>
    </row>
    <row r="1184" spans="13:39" hidden="1">
      <c r="M1184" s="131">
        <v>200000</v>
      </c>
      <c r="N1184" s="222">
        <v>415100</v>
      </c>
      <c r="O1184" s="132" t="s">
        <v>244</v>
      </c>
      <c r="P1184" s="132" t="s">
        <v>245</v>
      </c>
      <c r="Q1184" s="133">
        <v>126</v>
      </c>
      <c r="R1184" s="132" t="s">
        <v>289</v>
      </c>
      <c r="S1184" s="132" t="s">
        <v>11</v>
      </c>
      <c r="T1184" s="134">
        <v>41652</v>
      </c>
      <c r="U1184" s="172">
        <f t="shared" si="64"/>
        <v>2014</v>
      </c>
      <c r="V1184" s="172">
        <f t="shared" si="65"/>
        <v>1</v>
      </c>
      <c r="W1184" s="44" t="s">
        <v>316</v>
      </c>
      <c r="X1184" t="s">
        <v>894</v>
      </c>
      <c r="Y1184">
        <v>1</v>
      </c>
      <c r="AA1184" s="13">
        <f t="shared" si="63"/>
        <v>200000</v>
      </c>
      <c r="AE1184" s="43"/>
      <c r="AL1184" s="87" t="s">
        <v>819</v>
      </c>
      <c r="AM1184" s="86">
        <v>486394</v>
      </c>
    </row>
    <row r="1185" spans="13:39" hidden="1">
      <c r="M1185" s="131">
        <v>200000</v>
      </c>
      <c r="N1185" s="223">
        <v>492342</v>
      </c>
      <c r="O1185" s="132" t="s">
        <v>244</v>
      </c>
      <c r="P1185" s="132" t="s">
        <v>245</v>
      </c>
      <c r="Q1185" s="133">
        <v>434</v>
      </c>
      <c r="R1185" s="132" t="s">
        <v>279</v>
      </c>
      <c r="S1185" s="132" t="s">
        <v>11</v>
      </c>
      <c r="T1185" s="134">
        <v>42246</v>
      </c>
      <c r="U1185" s="172">
        <f t="shared" si="64"/>
        <v>2015</v>
      </c>
      <c r="V1185" s="172">
        <f t="shared" si="65"/>
        <v>8</v>
      </c>
      <c r="W1185" s="44" t="s">
        <v>291</v>
      </c>
      <c r="X1185" t="s">
        <v>892</v>
      </c>
      <c r="Y1185">
        <v>1</v>
      </c>
      <c r="AA1185" s="13">
        <f t="shared" si="63"/>
        <v>200000</v>
      </c>
      <c r="AE1185" s="43"/>
      <c r="AL1185" s="87" t="s">
        <v>819</v>
      </c>
      <c r="AM1185" s="86">
        <v>486394</v>
      </c>
    </row>
    <row r="1186" spans="13:39" hidden="1">
      <c r="M1186" s="131">
        <v>200000</v>
      </c>
      <c r="N1186" s="223">
        <v>493828</v>
      </c>
      <c r="O1186" s="132" t="s">
        <v>244</v>
      </c>
      <c r="P1186" s="132" t="s">
        <v>245</v>
      </c>
      <c r="Q1186" s="133">
        <v>122</v>
      </c>
      <c r="R1186" s="132" t="s">
        <v>279</v>
      </c>
      <c r="S1186" s="132" t="s">
        <v>11</v>
      </c>
      <c r="T1186" s="134">
        <v>42246</v>
      </c>
      <c r="U1186" s="172">
        <f t="shared" si="64"/>
        <v>2015</v>
      </c>
      <c r="V1186" s="172">
        <f t="shared" si="65"/>
        <v>8</v>
      </c>
      <c r="W1186" s="44" t="s">
        <v>291</v>
      </c>
      <c r="X1186" t="s">
        <v>892</v>
      </c>
      <c r="Y1186">
        <v>1</v>
      </c>
      <c r="AA1186" s="13">
        <f t="shared" si="63"/>
        <v>200000</v>
      </c>
      <c r="AE1186" s="43"/>
      <c r="AL1186" s="87" t="s">
        <v>819</v>
      </c>
      <c r="AM1186" s="86">
        <v>486394</v>
      </c>
    </row>
    <row r="1187" spans="13:39" hidden="1">
      <c r="M1187" s="131">
        <v>200001</v>
      </c>
      <c r="N1187" s="223">
        <v>486394</v>
      </c>
      <c r="O1187" s="132" t="s">
        <v>244</v>
      </c>
      <c r="P1187" s="132" t="s">
        <v>245</v>
      </c>
      <c r="Q1187" s="133">
        <v>444</v>
      </c>
      <c r="R1187" s="132" t="s">
        <v>279</v>
      </c>
      <c r="S1187" s="132" t="s">
        <v>11</v>
      </c>
      <c r="T1187" s="134">
        <v>42246</v>
      </c>
      <c r="U1187" s="172">
        <f t="shared" si="64"/>
        <v>2015</v>
      </c>
      <c r="V1187" s="172">
        <f t="shared" si="65"/>
        <v>8</v>
      </c>
      <c r="W1187" s="44" t="s">
        <v>291</v>
      </c>
      <c r="X1187" t="s">
        <v>892</v>
      </c>
      <c r="Y1187">
        <v>1</v>
      </c>
      <c r="AA1187" s="13">
        <f t="shared" si="63"/>
        <v>200001</v>
      </c>
      <c r="AE1187" s="43"/>
      <c r="AL1187" s="87" t="s">
        <v>819</v>
      </c>
      <c r="AM1187" s="86">
        <v>486394</v>
      </c>
    </row>
    <row r="1188" spans="13:39" hidden="1">
      <c r="M1188" s="131">
        <v>201000</v>
      </c>
      <c r="N1188" s="223">
        <v>568563</v>
      </c>
      <c r="O1188" s="132" t="s">
        <v>244</v>
      </c>
      <c r="P1188" s="132" t="s">
        <v>245</v>
      </c>
      <c r="Q1188" s="133">
        <v>1025</v>
      </c>
      <c r="R1188" s="132" t="s">
        <v>279</v>
      </c>
      <c r="S1188" s="132" t="s">
        <v>11</v>
      </c>
      <c r="T1188" s="134">
        <v>42548</v>
      </c>
      <c r="U1188" s="172">
        <f t="shared" si="64"/>
        <v>2016</v>
      </c>
      <c r="V1188" s="172">
        <f t="shared" si="65"/>
        <v>6</v>
      </c>
      <c r="W1188" s="44" t="s">
        <v>280</v>
      </c>
      <c r="X1188" t="s">
        <v>892</v>
      </c>
      <c r="Y1188">
        <v>1</v>
      </c>
      <c r="AA1188" s="13">
        <f t="shared" si="63"/>
        <v>201000</v>
      </c>
      <c r="AE1188" s="43"/>
      <c r="AL1188" s="87" t="s">
        <v>819</v>
      </c>
      <c r="AM1188" s="86">
        <v>486394</v>
      </c>
    </row>
    <row r="1189" spans="13:39" hidden="1">
      <c r="M1189" s="131">
        <v>201121</v>
      </c>
      <c r="N1189" s="223">
        <v>490854</v>
      </c>
      <c r="O1189" s="132" t="s">
        <v>244</v>
      </c>
      <c r="P1189" s="132" t="s">
        <v>245</v>
      </c>
      <c r="Q1189" s="133">
        <v>58</v>
      </c>
      <c r="R1189" s="132" t="s">
        <v>279</v>
      </c>
      <c r="S1189" s="132" t="s">
        <v>11</v>
      </c>
      <c r="T1189" s="134">
        <v>42246</v>
      </c>
      <c r="U1189" s="172">
        <f t="shared" si="64"/>
        <v>2015</v>
      </c>
      <c r="V1189" s="172">
        <f t="shared" si="65"/>
        <v>8</v>
      </c>
      <c r="W1189" s="44" t="s">
        <v>291</v>
      </c>
      <c r="X1189" t="s">
        <v>892</v>
      </c>
      <c r="Y1189">
        <v>1</v>
      </c>
      <c r="AA1189" s="13">
        <f t="shared" si="63"/>
        <v>201121</v>
      </c>
      <c r="AE1189" s="43"/>
      <c r="AL1189" s="87" t="s">
        <v>819</v>
      </c>
      <c r="AM1189" s="86">
        <v>486394</v>
      </c>
    </row>
    <row r="1190" spans="13:39" hidden="1">
      <c r="M1190" s="131">
        <v>201385</v>
      </c>
      <c r="N1190" s="222">
        <v>413341</v>
      </c>
      <c r="O1190" s="132" t="s">
        <v>244</v>
      </c>
      <c r="P1190" s="132" t="s">
        <v>245</v>
      </c>
      <c r="Q1190" s="133">
        <v>127</v>
      </c>
      <c r="R1190" s="132" t="s">
        <v>289</v>
      </c>
      <c r="S1190" s="132" t="s">
        <v>11</v>
      </c>
      <c r="T1190" s="134">
        <v>41652</v>
      </c>
      <c r="U1190" s="172">
        <f t="shared" si="64"/>
        <v>2014</v>
      </c>
      <c r="V1190" s="172">
        <f t="shared" si="65"/>
        <v>1</v>
      </c>
      <c r="W1190" s="44" t="s">
        <v>316</v>
      </c>
      <c r="X1190" t="s">
        <v>894</v>
      </c>
      <c r="Y1190">
        <v>1</v>
      </c>
      <c r="AA1190" s="13">
        <f t="shared" si="63"/>
        <v>201385</v>
      </c>
      <c r="AE1190" s="43"/>
      <c r="AL1190" s="87" t="s">
        <v>819</v>
      </c>
      <c r="AM1190" s="86">
        <v>486394</v>
      </c>
    </row>
    <row r="1191" spans="13:39" hidden="1">
      <c r="M1191" s="131">
        <v>201500</v>
      </c>
      <c r="N1191" s="223">
        <v>579954</v>
      </c>
      <c r="O1191" s="132" t="s">
        <v>244</v>
      </c>
      <c r="P1191" s="132" t="s">
        <v>245</v>
      </c>
      <c r="Q1191" s="133">
        <v>1022</v>
      </c>
      <c r="R1191" s="132" t="s">
        <v>279</v>
      </c>
      <c r="S1191" s="132" t="s">
        <v>11</v>
      </c>
      <c r="T1191" s="134">
        <v>42548</v>
      </c>
      <c r="U1191" s="172">
        <f t="shared" si="64"/>
        <v>2016</v>
      </c>
      <c r="V1191" s="172">
        <f t="shared" si="65"/>
        <v>6</v>
      </c>
      <c r="W1191" s="44" t="s">
        <v>280</v>
      </c>
      <c r="X1191" t="s">
        <v>892</v>
      </c>
      <c r="Y1191">
        <v>1</v>
      </c>
      <c r="AA1191" s="13">
        <f t="shared" si="63"/>
        <v>201500</v>
      </c>
      <c r="AE1191" s="43"/>
      <c r="AL1191" s="87" t="s">
        <v>819</v>
      </c>
      <c r="AM1191" s="86">
        <v>486394</v>
      </c>
    </row>
    <row r="1192" spans="13:39" hidden="1">
      <c r="M1192" s="131">
        <v>201500</v>
      </c>
      <c r="N1192" s="223">
        <v>579954</v>
      </c>
      <c r="O1192" s="132" t="s">
        <v>244</v>
      </c>
      <c r="P1192" s="132" t="s">
        <v>245</v>
      </c>
      <c r="Q1192" s="133">
        <v>1023</v>
      </c>
      <c r="R1192" s="132" t="s">
        <v>279</v>
      </c>
      <c r="S1192" s="132" t="s">
        <v>11</v>
      </c>
      <c r="T1192" s="134">
        <v>42548</v>
      </c>
      <c r="U1192" s="172">
        <f t="shared" si="64"/>
        <v>2016</v>
      </c>
      <c r="V1192" s="172">
        <f t="shared" si="65"/>
        <v>6</v>
      </c>
      <c r="W1192" s="44" t="s">
        <v>280</v>
      </c>
      <c r="X1192" t="s">
        <v>892</v>
      </c>
      <c r="Y1192">
        <v>1</v>
      </c>
      <c r="AA1192" s="13">
        <f t="shared" si="63"/>
        <v>201500</v>
      </c>
      <c r="AE1192" s="43"/>
      <c r="AL1192" s="87" t="s">
        <v>819</v>
      </c>
      <c r="AM1192" s="86">
        <v>486394</v>
      </c>
    </row>
    <row r="1193" spans="13:39" hidden="1">
      <c r="M1193" s="131">
        <v>202560</v>
      </c>
      <c r="N1193" s="223">
        <v>476979</v>
      </c>
      <c r="O1193" s="132" t="s">
        <v>244</v>
      </c>
      <c r="P1193" s="132" t="s">
        <v>245</v>
      </c>
      <c r="Q1193" s="133">
        <v>318</v>
      </c>
      <c r="R1193" s="132" t="s">
        <v>279</v>
      </c>
      <c r="S1193" s="132" t="s">
        <v>11</v>
      </c>
      <c r="T1193" s="134">
        <v>42246</v>
      </c>
      <c r="U1193" s="172">
        <f t="shared" si="64"/>
        <v>2015</v>
      </c>
      <c r="V1193" s="172">
        <f t="shared" si="65"/>
        <v>8</v>
      </c>
      <c r="W1193" s="44" t="s">
        <v>291</v>
      </c>
      <c r="X1193" t="s">
        <v>892</v>
      </c>
      <c r="Y1193">
        <v>1</v>
      </c>
      <c r="AA1193" s="13">
        <f t="shared" si="63"/>
        <v>202560</v>
      </c>
      <c r="AE1193" s="43"/>
      <c r="AL1193" s="87" t="s">
        <v>819</v>
      </c>
      <c r="AM1193" s="86">
        <v>486394</v>
      </c>
    </row>
    <row r="1194" spans="13:39" hidden="1">
      <c r="M1194" s="131">
        <v>203491</v>
      </c>
      <c r="N1194" s="223">
        <v>499776</v>
      </c>
      <c r="O1194" s="132" t="s">
        <v>244</v>
      </c>
      <c r="P1194" s="132" t="s">
        <v>245</v>
      </c>
      <c r="Q1194" s="133">
        <v>361</v>
      </c>
      <c r="R1194" s="132" t="s">
        <v>279</v>
      </c>
      <c r="S1194" s="132" t="s">
        <v>11</v>
      </c>
      <c r="T1194" s="134">
        <v>42246</v>
      </c>
      <c r="U1194" s="172">
        <f t="shared" si="64"/>
        <v>2015</v>
      </c>
      <c r="V1194" s="172">
        <f t="shared" si="65"/>
        <v>8</v>
      </c>
      <c r="W1194" s="44" t="s">
        <v>291</v>
      </c>
      <c r="X1194" t="s">
        <v>892</v>
      </c>
      <c r="Y1194">
        <v>1</v>
      </c>
      <c r="AA1194" s="13">
        <f t="shared" si="63"/>
        <v>203491</v>
      </c>
      <c r="AE1194" s="43"/>
      <c r="AL1194" s="87" t="s">
        <v>819</v>
      </c>
      <c r="AM1194" s="86">
        <v>486394</v>
      </c>
    </row>
    <row r="1195" spans="13:39" hidden="1">
      <c r="M1195" s="131">
        <v>204000</v>
      </c>
      <c r="N1195" s="223">
        <v>436206</v>
      </c>
      <c r="O1195" s="132" t="s">
        <v>244</v>
      </c>
      <c r="P1195" s="132" t="s">
        <v>245</v>
      </c>
      <c r="Q1195" s="133">
        <v>129</v>
      </c>
      <c r="R1195" s="132" t="s">
        <v>289</v>
      </c>
      <c r="S1195" s="132" t="s">
        <v>11</v>
      </c>
      <c r="T1195" s="134">
        <v>41652</v>
      </c>
      <c r="U1195" s="172">
        <f t="shared" si="64"/>
        <v>2014</v>
      </c>
      <c r="V1195" s="172">
        <f t="shared" si="65"/>
        <v>1</v>
      </c>
      <c r="W1195" s="44" t="s">
        <v>316</v>
      </c>
      <c r="X1195" t="s">
        <v>894</v>
      </c>
      <c r="Y1195">
        <v>1</v>
      </c>
      <c r="AA1195" s="13">
        <f t="shared" si="63"/>
        <v>204000</v>
      </c>
      <c r="AE1195" s="43"/>
      <c r="AL1195" s="87" t="s">
        <v>819</v>
      </c>
      <c r="AM1195" s="86">
        <v>486394</v>
      </c>
    </row>
    <row r="1196" spans="13:39" hidden="1">
      <c r="M1196" s="131">
        <v>205000</v>
      </c>
      <c r="N1196" s="223">
        <v>663104</v>
      </c>
      <c r="O1196" s="132" t="s">
        <v>244</v>
      </c>
      <c r="P1196" s="132" t="s">
        <v>245</v>
      </c>
      <c r="Q1196" s="133">
        <v>1217</v>
      </c>
      <c r="R1196" s="132" t="s">
        <v>279</v>
      </c>
      <c r="S1196" s="132" t="s">
        <v>11</v>
      </c>
      <c r="T1196" s="134">
        <v>42548</v>
      </c>
      <c r="U1196" s="172">
        <f t="shared" si="64"/>
        <v>2016</v>
      </c>
      <c r="V1196" s="172">
        <f t="shared" si="65"/>
        <v>6</v>
      </c>
      <c r="W1196" s="44" t="s">
        <v>280</v>
      </c>
      <c r="X1196" t="s">
        <v>892</v>
      </c>
      <c r="Y1196">
        <v>1</v>
      </c>
      <c r="AA1196" s="13">
        <f t="shared" si="63"/>
        <v>205000</v>
      </c>
      <c r="AE1196" s="43"/>
      <c r="AL1196" s="87" t="s">
        <v>819</v>
      </c>
      <c r="AM1196" s="86">
        <v>486394</v>
      </c>
    </row>
    <row r="1197" spans="13:39" hidden="1">
      <c r="M1197" s="131">
        <v>205134</v>
      </c>
      <c r="N1197" s="223">
        <v>492837</v>
      </c>
      <c r="O1197" s="132" t="s">
        <v>244</v>
      </c>
      <c r="P1197" s="132" t="s">
        <v>245</v>
      </c>
      <c r="Q1197" s="133">
        <v>107</v>
      </c>
      <c r="R1197" s="132" t="s">
        <v>279</v>
      </c>
      <c r="S1197" s="132" t="s">
        <v>11</v>
      </c>
      <c r="T1197" s="134">
        <v>42246</v>
      </c>
      <c r="U1197" s="172">
        <f t="shared" si="64"/>
        <v>2015</v>
      </c>
      <c r="V1197" s="172">
        <f t="shared" si="65"/>
        <v>8</v>
      </c>
      <c r="W1197" s="44" t="s">
        <v>291</v>
      </c>
      <c r="X1197" t="s">
        <v>892</v>
      </c>
      <c r="Y1197">
        <v>1</v>
      </c>
      <c r="AA1197" s="13">
        <f t="shared" si="63"/>
        <v>205134</v>
      </c>
      <c r="AE1197" s="43"/>
      <c r="AL1197" s="87" t="s">
        <v>819</v>
      </c>
      <c r="AM1197" s="86">
        <v>486394</v>
      </c>
    </row>
    <row r="1198" spans="13:39" hidden="1">
      <c r="M1198" s="131">
        <v>205362</v>
      </c>
      <c r="N1198" s="223">
        <v>475491</v>
      </c>
      <c r="O1198" s="132" t="s">
        <v>244</v>
      </c>
      <c r="P1198" s="132" t="s">
        <v>245</v>
      </c>
      <c r="Q1198" s="133">
        <v>385</v>
      </c>
      <c r="R1198" s="132" t="s">
        <v>279</v>
      </c>
      <c r="S1198" s="132" t="s">
        <v>11</v>
      </c>
      <c r="T1198" s="134">
        <v>42246</v>
      </c>
      <c r="U1198" s="172">
        <f t="shared" si="64"/>
        <v>2015</v>
      </c>
      <c r="V1198" s="172">
        <f t="shared" si="65"/>
        <v>8</v>
      </c>
      <c r="W1198" s="44" t="s">
        <v>291</v>
      </c>
      <c r="X1198" t="s">
        <v>892</v>
      </c>
      <c r="Y1198">
        <v>1</v>
      </c>
      <c r="AA1198" s="13">
        <f t="shared" si="63"/>
        <v>205362</v>
      </c>
      <c r="AE1198" s="43"/>
      <c r="AL1198" s="87" t="s">
        <v>819</v>
      </c>
      <c r="AM1198" s="86">
        <v>486394</v>
      </c>
    </row>
    <row r="1199" spans="13:39" hidden="1">
      <c r="M1199" s="131">
        <v>205500</v>
      </c>
      <c r="N1199" s="223">
        <v>493828</v>
      </c>
      <c r="O1199" s="132" t="s">
        <v>244</v>
      </c>
      <c r="P1199" s="132" t="s">
        <v>245</v>
      </c>
      <c r="Q1199" s="133">
        <v>390</v>
      </c>
      <c r="R1199" s="132" t="s">
        <v>279</v>
      </c>
      <c r="S1199" s="132" t="s">
        <v>11</v>
      </c>
      <c r="T1199" s="134">
        <v>42246</v>
      </c>
      <c r="U1199" s="172">
        <f t="shared" si="64"/>
        <v>2015</v>
      </c>
      <c r="V1199" s="172">
        <f t="shared" si="65"/>
        <v>8</v>
      </c>
      <c r="W1199" s="44" t="s">
        <v>291</v>
      </c>
      <c r="X1199" t="s">
        <v>892</v>
      </c>
      <c r="Y1199">
        <v>1</v>
      </c>
      <c r="AA1199" s="13">
        <f t="shared" si="63"/>
        <v>205500</v>
      </c>
      <c r="AE1199" s="43"/>
      <c r="AL1199" s="87" t="s">
        <v>819</v>
      </c>
      <c r="AM1199" s="86">
        <v>486394</v>
      </c>
    </row>
    <row r="1200" spans="13:39" hidden="1">
      <c r="M1200" s="131">
        <v>206000</v>
      </c>
      <c r="N1200" s="223">
        <v>493333</v>
      </c>
      <c r="O1200" s="132" t="s">
        <v>244</v>
      </c>
      <c r="P1200" s="132" t="s">
        <v>245</v>
      </c>
      <c r="Q1200" s="133">
        <v>168</v>
      </c>
      <c r="R1200" s="132" t="s">
        <v>279</v>
      </c>
      <c r="S1200" s="132" t="s">
        <v>11</v>
      </c>
      <c r="T1200" s="134">
        <v>42246</v>
      </c>
      <c r="U1200" s="172">
        <f t="shared" si="64"/>
        <v>2015</v>
      </c>
      <c r="V1200" s="172">
        <f t="shared" si="65"/>
        <v>8</v>
      </c>
      <c r="W1200" s="44" t="s">
        <v>291</v>
      </c>
      <c r="X1200" t="s">
        <v>892</v>
      </c>
      <c r="Y1200">
        <v>1</v>
      </c>
      <c r="AA1200" s="13">
        <f t="shared" si="63"/>
        <v>206000</v>
      </c>
      <c r="AE1200" s="43"/>
      <c r="AL1200" s="87" t="s">
        <v>819</v>
      </c>
      <c r="AM1200" s="86">
        <v>486394</v>
      </c>
    </row>
    <row r="1201" spans="13:39" hidden="1">
      <c r="M1201" s="131">
        <v>206353</v>
      </c>
      <c r="N1201" s="223">
        <v>491350</v>
      </c>
      <c r="O1201" s="132" t="s">
        <v>244</v>
      </c>
      <c r="P1201" s="132" t="s">
        <v>245</v>
      </c>
      <c r="Q1201" s="133">
        <v>100</v>
      </c>
      <c r="R1201" s="132" t="s">
        <v>279</v>
      </c>
      <c r="S1201" s="132" t="s">
        <v>11</v>
      </c>
      <c r="T1201" s="134">
        <v>42246</v>
      </c>
      <c r="U1201" s="172">
        <f t="shared" si="64"/>
        <v>2015</v>
      </c>
      <c r="V1201" s="172">
        <f t="shared" si="65"/>
        <v>8</v>
      </c>
      <c r="W1201" s="44" t="s">
        <v>291</v>
      </c>
      <c r="X1201" t="s">
        <v>892</v>
      </c>
      <c r="Y1201">
        <v>1</v>
      </c>
      <c r="AA1201" s="13">
        <f t="shared" si="63"/>
        <v>206353</v>
      </c>
      <c r="AE1201" s="43"/>
      <c r="AL1201" s="87" t="s">
        <v>819</v>
      </c>
      <c r="AM1201" s="86">
        <v>486394</v>
      </c>
    </row>
    <row r="1202" spans="13:39" hidden="1">
      <c r="M1202" s="131">
        <v>206696</v>
      </c>
      <c r="N1202" s="223">
        <v>488377</v>
      </c>
      <c r="O1202" s="132" t="s">
        <v>244</v>
      </c>
      <c r="P1202" s="132" t="s">
        <v>245</v>
      </c>
      <c r="Q1202" s="133">
        <v>54</v>
      </c>
      <c r="R1202" s="132" t="s">
        <v>279</v>
      </c>
      <c r="S1202" s="132" t="s">
        <v>11</v>
      </c>
      <c r="T1202" s="134">
        <v>42246</v>
      </c>
      <c r="U1202" s="172">
        <f t="shared" si="64"/>
        <v>2015</v>
      </c>
      <c r="V1202" s="172">
        <f t="shared" si="65"/>
        <v>8</v>
      </c>
      <c r="W1202" s="44" t="s">
        <v>291</v>
      </c>
      <c r="X1202" t="s">
        <v>892</v>
      </c>
      <c r="Y1202">
        <v>1</v>
      </c>
      <c r="AA1202" s="13">
        <f t="shared" si="63"/>
        <v>206696</v>
      </c>
      <c r="AE1202" s="43"/>
      <c r="AL1202" s="87" t="s">
        <v>819</v>
      </c>
      <c r="AM1202" s="86">
        <v>486717</v>
      </c>
    </row>
    <row r="1203" spans="13:39" hidden="1">
      <c r="M1203" s="131">
        <v>209133</v>
      </c>
      <c r="N1203" s="223">
        <v>492837</v>
      </c>
      <c r="O1203" s="132" t="s">
        <v>244</v>
      </c>
      <c r="P1203" s="132" t="s">
        <v>245</v>
      </c>
      <c r="Q1203" s="133">
        <v>287</v>
      </c>
      <c r="R1203" s="132" t="s">
        <v>279</v>
      </c>
      <c r="S1203" s="132" t="s">
        <v>11</v>
      </c>
      <c r="T1203" s="134">
        <v>42246</v>
      </c>
      <c r="U1203" s="172">
        <f t="shared" si="64"/>
        <v>2015</v>
      </c>
      <c r="V1203" s="172">
        <f t="shared" si="65"/>
        <v>8</v>
      </c>
      <c r="W1203" s="44" t="s">
        <v>291</v>
      </c>
      <c r="X1203" t="s">
        <v>892</v>
      </c>
      <c r="Y1203">
        <v>1</v>
      </c>
      <c r="AA1203" s="13">
        <f t="shared" si="63"/>
        <v>209133</v>
      </c>
      <c r="AE1203" s="43"/>
      <c r="AL1203" s="87" t="s">
        <v>819</v>
      </c>
      <c r="AM1203" s="86">
        <v>486717</v>
      </c>
    </row>
    <row r="1204" spans="13:39" hidden="1">
      <c r="M1204" s="131">
        <v>210750</v>
      </c>
      <c r="N1204" s="223">
        <v>454234</v>
      </c>
      <c r="O1204" s="132" t="s">
        <v>244</v>
      </c>
      <c r="P1204" s="132" t="s">
        <v>245</v>
      </c>
      <c r="Q1204" s="133">
        <v>155</v>
      </c>
      <c r="R1204" s="132" t="s">
        <v>289</v>
      </c>
      <c r="S1204" s="132" t="s">
        <v>11</v>
      </c>
      <c r="T1204" s="134">
        <v>41652</v>
      </c>
      <c r="U1204" s="172">
        <f t="shared" si="64"/>
        <v>2014</v>
      </c>
      <c r="V1204" s="172">
        <f t="shared" si="65"/>
        <v>1</v>
      </c>
      <c r="W1204" s="44" t="s">
        <v>316</v>
      </c>
      <c r="X1204" t="s">
        <v>894</v>
      </c>
      <c r="Y1204">
        <v>1</v>
      </c>
      <c r="AA1204" s="13">
        <f t="shared" si="63"/>
        <v>210750</v>
      </c>
      <c r="AE1204" s="43"/>
      <c r="AL1204" s="87" t="s">
        <v>819</v>
      </c>
      <c r="AM1204" s="86">
        <v>486890</v>
      </c>
    </row>
    <row r="1205" spans="13:39" hidden="1">
      <c r="M1205" s="131">
        <v>212144</v>
      </c>
      <c r="N1205" s="223">
        <v>489368</v>
      </c>
      <c r="O1205" s="132" t="s">
        <v>244</v>
      </c>
      <c r="P1205" s="132" t="s">
        <v>245</v>
      </c>
      <c r="Q1205" s="133">
        <v>88</v>
      </c>
      <c r="R1205" s="132" t="s">
        <v>279</v>
      </c>
      <c r="S1205" s="132" t="s">
        <v>11</v>
      </c>
      <c r="T1205" s="134">
        <v>42246</v>
      </c>
      <c r="U1205" s="172">
        <f t="shared" si="64"/>
        <v>2015</v>
      </c>
      <c r="V1205" s="172">
        <f t="shared" si="65"/>
        <v>8</v>
      </c>
      <c r="W1205" s="44" t="s">
        <v>291</v>
      </c>
      <c r="X1205" t="s">
        <v>892</v>
      </c>
      <c r="Y1205">
        <v>1</v>
      </c>
      <c r="AA1205" s="13">
        <f t="shared" si="63"/>
        <v>212144</v>
      </c>
      <c r="AE1205" s="43"/>
      <c r="AL1205" s="87" t="s">
        <v>819</v>
      </c>
      <c r="AM1205" s="86">
        <v>486890</v>
      </c>
    </row>
    <row r="1206" spans="13:39" hidden="1">
      <c r="M1206" s="131">
        <v>214963</v>
      </c>
      <c r="N1206" s="223">
        <v>487882</v>
      </c>
      <c r="O1206" s="132" t="s">
        <v>244</v>
      </c>
      <c r="P1206" s="132" t="s">
        <v>245</v>
      </c>
      <c r="Q1206" s="133">
        <v>51</v>
      </c>
      <c r="R1206" s="132" t="s">
        <v>279</v>
      </c>
      <c r="S1206" s="132" t="s">
        <v>11</v>
      </c>
      <c r="T1206" s="134">
        <v>42246</v>
      </c>
      <c r="U1206" s="172">
        <f t="shared" si="64"/>
        <v>2015</v>
      </c>
      <c r="V1206" s="172">
        <f t="shared" si="65"/>
        <v>8</v>
      </c>
      <c r="W1206" s="44" t="s">
        <v>291</v>
      </c>
      <c r="X1206" t="s">
        <v>892</v>
      </c>
      <c r="Y1206">
        <v>1</v>
      </c>
      <c r="AA1206" s="13">
        <f t="shared" si="63"/>
        <v>214963</v>
      </c>
      <c r="AE1206" s="43"/>
      <c r="AL1206" s="87" t="s">
        <v>819</v>
      </c>
      <c r="AM1206" s="86">
        <v>486890</v>
      </c>
    </row>
    <row r="1207" spans="13:39" hidden="1">
      <c r="M1207" s="131">
        <v>216000</v>
      </c>
      <c r="N1207" s="223">
        <v>491350</v>
      </c>
      <c r="O1207" s="132" t="s">
        <v>244</v>
      </c>
      <c r="P1207" s="132" t="s">
        <v>245</v>
      </c>
      <c r="Q1207" s="133">
        <v>419</v>
      </c>
      <c r="R1207" s="132" t="s">
        <v>279</v>
      </c>
      <c r="S1207" s="132" t="s">
        <v>11</v>
      </c>
      <c r="T1207" s="134">
        <v>42246</v>
      </c>
      <c r="U1207" s="172">
        <f t="shared" si="64"/>
        <v>2015</v>
      </c>
      <c r="V1207" s="172">
        <f t="shared" si="65"/>
        <v>8</v>
      </c>
      <c r="W1207" s="44" t="s">
        <v>291</v>
      </c>
      <c r="X1207" t="s">
        <v>892</v>
      </c>
      <c r="Y1207">
        <v>1</v>
      </c>
      <c r="AA1207" s="13">
        <f t="shared" si="63"/>
        <v>216000</v>
      </c>
      <c r="AE1207" s="43"/>
      <c r="AL1207" s="87" t="s">
        <v>819</v>
      </c>
      <c r="AM1207" s="86">
        <v>486890</v>
      </c>
    </row>
    <row r="1208" spans="13:39" hidden="1">
      <c r="M1208" s="131">
        <v>218778</v>
      </c>
      <c r="N1208" s="223">
        <v>449397</v>
      </c>
      <c r="O1208" s="132" t="s">
        <v>244</v>
      </c>
      <c r="P1208" s="132" t="s">
        <v>245</v>
      </c>
      <c r="Q1208" s="133">
        <v>153</v>
      </c>
      <c r="R1208" s="132" t="s">
        <v>289</v>
      </c>
      <c r="S1208" s="132" t="s">
        <v>11</v>
      </c>
      <c r="T1208" s="134">
        <v>41652</v>
      </c>
      <c r="U1208" s="172">
        <f t="shared" si="64"/>
        <v>2014</v>
      </c>
      <c r="V1208" s="172">
        <f t="shared" si="65"/>
        <v>1</v>
      </c>
      <c r="W1208" s="44" t="s">
        <v>316</v>
      </c>
      <c r="X1208" t="s">
        <v>894</v>
      </c>
      <c r="Y1208">
        <v>1</v>
      </c>
      <c r="AA1208" s="13">
        <f t="shared" si="63"/>
        <v>218778</v>
      </c>
      <c r="AE1208" s="43"/>
      <c r="AL1208" s="87" t="s">
        <v>819</v>
      </c>
      <c r="AM1208" s="86">
        <v>486890</v>
      </c>
    </row>
    <row r="1209" spans="13:39" hidden="1">
      <c r="M1209" s="131">
        <v>220150</v>
      </c>
      <c r="N1209" s="223">
        <v>567424</v>
      </c>
      <c r="O1209" s="132" t="s">
        <v>244</v>
      </c>
      <c r="P1209" s="132" t="s">
        <v>245</v>
      </c>
      <c r="Q1209" s="133">
        <v>1001</v>
      </c>
      <c r="R1209" s="132" t="s">
        <v>279</v>
      </c>
      <c r="S1209" s="132" t="s">
        <v>11</v>
      </c>
      <c r="T1209" s="134">
        <v>42548</v>
      </c>
      <c r="U1209" s="172">
        <f t="shared" si="64"/>
        <v>2016</v>
      </c>
      <c r="V1209" s="172">
        <f t="shared" si="65"/>
        <v>6</v>
      </c>
      <c r="W1209" s="44" t="s">
        <v>280</v>
      </c>
      <c r="X1209" t="s">
        <v>892</v>
      </c>
      <c r="Y1209">
        <v>1</v>
      </c>
      <c r="AA1209" s="13">
        <f t="shared" si="63"/>
        <v>220150</v>
      </c>
      <c r="AE1209" s="43"/>
      <c r="AL1209" s="87" t="s">
        <v>819</v>
      </c>
      <c r="AM1209" s="86">
        <v>486890</v>
      </c>
    </row>
    <row r="1210" spans="13:39" hidden="1">
      <c r="M1210" s="131">
        <v>221558</v>
      </c>
      <c r="N1210" s="223">
        <v>479951</v>
      </c>
      <c r="O1210" s="132" t="s">
        <v>244</v>
      </c>
      <c r="P1210" s="132" t="s">
        <v>245</v>
      </c>
      <c r="Q1210" s="133">
        <v>190</v>
      </c>
      <c r="R1210" s="132" t="s">
        <v>279</v>
      </c>
      <c r="S1210" s="132" t="s">
        <v>11</v>
      </c>
      <c r="T1210" s="134">
        <v>42246</v>
      </c>
      <c r="U1210" s="172">
        <f t="shared" si="64"/>
        <v>2015</v>
      </c>
      <c r="V1210" s="172">
        <f t="shared" si="65"/>
        <v>8</v>
      </c>
      <c r="W1210" s="44" t="s">
        <v>291</v>
      </c>
      <c r="X1210" t="s">
        <v>892</v>
      </c>
      <c r="Y1210">
        <v>1</v>
      </c>
      <c r="AA1210" s="13">
        <f t="shared" si="63"/>
        <v>221558</v>
      </c>
      <c r="AE1210" s="43"/>
      <c r="AL1210" s="87" t="s">
        <v>819</v>
      </c>
      <c r="AM1210" s="86">
        <v>486890</v>
      </c>
    </row>
    <row r="1211" spans="13:39" hidden="1">
      <c r="M1211" s="131">
        <v>223559</v>
      </c>
      <c r="N1211" s="222">
        <v>419057</v>
      </c>
      <c r="O1211" s="132" t="s">
        <v>244</v>
      </c>
      <c r="P1211" s="132" t="s">
        <v>245</v>
      </c>
      <c r="Q1211" s="133">
        <v>109</v>
      </c>
      <c r="R1211" s="132" t="s">
        <v>289</v>
      </c>
      <c r="S1211" s="132" t="s">
        <v>11</v>
      </c>
      <c r="T1211" s="134">
        <v>41652</v>
      </c>
      <c r="U1211" s="172">
        <f t="shared" si="64"/>
        <v>2014</v>
      </c>
      <c r="V1211" s="172">
        <f t="shared" si="65"/>
        <v>1</v>
      </c>
      <c r="W1211" s="44" t="s">
        <v>316</v>
      </c>
      <c r="X1211" t="s">
        <v>894</v>
      </c>
      <c r="Y1211">
        <v>1</v>
      </c>
      <c r="AA1211" s="13">
        <f t="shared" si="63"/>
        <v>223559</v>
      </c>
      <c r="AE1211" s="43"/>
      <c r="AL1211" s="87" t="s">
        <v>819</v>
      </c>
      <c r="AM1211" s="86">
        <v>486890</v>
      </c>
    </row>
    <row r="1212" spans="13:39" hidden="1">
      <c r="M1212" s="131">
        <v>226226</v>
      </c>
      <c r="N1212" s="222">
        <v>387789</v>
      </c>
      <c r="O1212" s="132" t="s">
        <v>244</v>
      </c>
      <c r="P1212" s="132" t="s">
        <v>245</v>
      </c>
      <c r="Q1212" s="133">
        <v>12</v>
      </c>
      <c r="R1212" s="132" t="s">
        <v>289</v>
      </c>
      <c r="S1212" s="132" t="s">
        <v>11</v>
      </c>
      <c r="T1212" s="134">
        <v>41652</v>
      </c>
      <c r="U1212" s="172">
        <f t="shared" si="64"/>
        <v>2014</v>
      </c>
      <c r="V1212" s="172">
        <f t="shared" si="65"/>
        <v>1</v>
      </c>
      <c r="W1212" s="44" t="s">
        <v>316</v>
      </c>
      <c r="X1212" t="s">
        <v>894</v>
      </c>
      <c r="Y1212">
        <v>1</v>
      </c>
      <c r="AA1212" s="13">
        <f t="shared" si="63"/>
        <v>226226</v>
      </c>
      <c r="AE1212" s="43"/>
      <c r="AL1212" s="87" t="s">
        <v>819</v>
      </c>
      <c r="AM1212" s="86">
        <v>487385</v>
      </c>
    </row>
    <row r="1213" spans="13:39" hidden="1">
      <c r="M1213" s="131">
        <v>227294</v>
      </c>
      <c r="N1213" s="222">
        <v>387349</v>
      </c>
      <c r="O1213" s="132" t="s">
        <v>244</v>
      </c>
      <c r="P1213" s="132" t="s">
        <v>245</v>
      </c>
      <c r="Q1213" s="133">
        <v>15</v>
      </c>
      <c r="R1213" s="132" t="s">
        <v>289</v>
      </c>
      <c r="S1213" s="132" t="s">
        <v>11</v>
      </c>
      <c r="T1213" s="134">
        <v>41652</v>
      </c>
      <c r="U1213" s="172">
        <f t="shared" si="64"/>
        <v>2014</v>
      </c>
      <c r="V1213" s="172">
        <f t="shared" si="65"/>
        <v>1</v>
      </c>
      <c r="W1213" s="44" t="s">
        <v>316</v>
      </c>
      <c r="X1213" t="s">
        <v>894</v>
      </c>
      <c r="Y1213">
        <v>1</v>
      </c>
      <c r="AA1213" s="13">
        <f t="shared" si="63"/>
        <v>227294</v>
      </c>
      <c r="AE1213" s="43"/>
      <c r="AL1213" s="87" t="s">
        <v>819</v>
      </c>
      <c r="AM1213" s="86">
        <v>487385</v>
      </c>
    </row>
    <row r="1214" spans="13:39" hidden="1">
      <c r="M1214" s="131">
        <v>227777</v>
      </c>
      <c r="N1214" s="223">
        <v>432249</v>
      </c>
      <c r="O1214" s="132" t="s">
        <v>244</v>
      </c>
      <c r="P1214" s="132" t="s">
        <v>245</v>
      </c>
      <c r="Q1214" s="133">
        <v>144</v>
      </c>
      <c r="R1214" s="132" t="s">
        <v>289</v>
      </c>
      <c r="S1214" s="132" t="s">
        <v>11</v>
      </c>
      <c r="T1214" s="134">
        <v>41652</v>
      </c>
      <c r="U1214" s="172">
        <f t="shared" si="64"/>
        <v>2014</v>
      </c>
      <c r="V1214" s="172">
        <f t="shared" si="65"/>
        <v>1</v>
      </c>
      <c r="W1214" s="44" t="s">
        <v>316</v>
      </c>
      <c r="X1214" t="s">
        <v>894</v>
      </c>
      <c r="Y1214">
        <v>1</v>
      </c>
      <c r="AA1214" s="13">
        <f t="shared" si="63"/>
        <v>227777</v>
      </c>
      <c r="AE1214" s="43"/>
      <c r="AL1214" s="87" t="s">
        <v>819</v>
      </c>
      <c r="AM1214" s="86">
        <v>487385</v>
      </c>
    </row>
    <row r="1215" spans="13:39" hidden="1">
      <c r="M1215" s="131">
        <v>231449</v>
      </c>
      <c r="N1215" s="223">
        <v>489864</v>
      </c>
      <c r="O1215" s="132" t="s">
        <v>244</v>
      </c>
      <c r="P1215" s="132" t="s">
        <v>245</v>
      </c>
      <c r="Q1215" s="133">
        <v>426</v>
      </c>
      <c r="R1215" s="132" t="s">
        <v>279</v>
      </c>
      <c r="S1215" s="132" t="s">
        <v>11</v>
      </c>
      <c r="T1215" s="134">
        <v>42246</v>
      </c>
      <c r="U1215" s="172">
        <f t="shared" si="64"/>
        <v>2015</v>
      </c>
      <c r="V1215" s="172">
        <f t="shared" si="65"/>
        <v>8</v>
      </c>
      <c r="W1215" s="44" t="s">
        <v>291</v>
      </c>
      <c r="X1215" t="s">
        <v>892</v>
      </c>
      <c r="Y1215">
        <v>1</v>
      </c>
      <c r="AA1215" s="13">
        <f t="shared" si="63"/>
        <v>231449</v>
      </c>
      <c r="AE1215" s="43"/>
      <c r="AL1215" s="87" t="s">
        <v>819</v>
      </c>
      <c r="AM1215" s="86">
        <v>487385</v>
      </c>
    </row>
    <row r="1216" spans="13:39" hidden="1">
      <c r="M1216" s="131">
        <v>231700</v>
      </c>
      <c r="N1216" s="222">
        <v>417738</v>
      </c>
      <c r="O1216" s="132" t="s">
        <v>244</v>
      </c>
      <c r="P1216" s="132" t="s">
        <v>245</v>
      </c>
      <c r="Q1216" s="133">
        <v>101</v>
      </c>
      <c r="R1216" s="132" t="s">
        <v>289</v>
      </c>
      <c r="S1216" s="132" t="s">
        <v>11</v>
      </c>
      <c r="T1216" s="134">
        <v>41652</v>
      </c>
      <c r="U1216" s="172">
        <f t="shared" si="64"/>
        <v>2014</v>
      </c>
      <c r="V1216" s="172">
        <f t="shared" si="65"/>
        <v>1</v>
      </c>
      <c r="W1216" s="44" t="s">
        <v>316</v>
      </c>
      <c r="X1216" t="s">
        <v>894</v>
      </c>
      <c r="Y1216">
        <v>1</v>
      </c>
      <c r="AA1216" s="13">
        <f t="shared" si="63"/>
        <v>231700</v>
      </c>
      <c r="AE1216" s="43"/>
      <c r="AL1216" s="87" t="s">
        <v>819</v>
      </c>
      <c r="AM1216" s="86">
        <v>487385</v>
      </c>
    </row>
    <row r="1217" spans="13:39" hidden="1">
      <c r="M1217" s="131">
        <v>231955</v>
      </c>
      <c r="N1217" s="223">
        <v>493333</v>
      </c>
      <c r="O1217" s="132" t="s">
        <v>244</v>
      </c>
      <c r="P1217" s="132" t="s">
        <v>245</v>
      </c>
      <c r="Q1217" s="133">
        <v>448</v>
      </c>
      <c r="R1217" s="132" t="s">
        <v>279</v>
      </c>
      <c r="S1217" s="132" t="s">
        <v>11</v>
      </c>
      <c r="T1217" s="134">
        <v>42246</v>
      </c>
      <c r="U1217" s="172">
        <f t="shared" si="64"/>
        <v>2015</v>
      </c>
      <c r="V1217" s="172">
        <f t="shared" si="65"/>
        <v>8</v>
      </c>
      <c r="W1217" s="44" t="s">
        <v>291</v>
      </c>
      <c r="X1217" t="s">
        <v>892</v>
      </c>
      <c r="Y1217">
        <v>1</v>
      </c>
      <c r="AA1217" s="13">
        <f t="shared" si="63"/>
        <v>231955</v>
      </c>
      <c r="AE1217" s="43"/>
      <c r="AL1217" s="87" t="s">
        <v>819</v>
      </c>
      <c r="AM1217" s="86">
        <v>487385</v>
      </c>
    </row>
    <row r="1218" spans="13:39" hidden="1">
      <c r="M1218" s="131">
        <v>232670</v>
      </c>
      <c r="N1218" s="223">
        <v>526537</v>
      </c>
      <c r="O1218" s="132" t="s">
        <v>244</v>
      </c>
      <c r="P1218" s="132" t="s">
        <v>245</v>
      </c>
      <c r="Q1218" s="133">
        <v>96</v>
      </c>
      <c r="R1218" s="132" t="s">
        <v>279</v>
      </c>
      <c r="S1218" s="132" t="s">
        <v>11</v>
      </c>
      <c r="T1218" s="134">
        <v>42246</v>
      </c>
      <c r="U1218" s="172">
        <f t="shared" si="64"/>
        <v>2015</v>
      </c>
      <c r="V1218" s="172">
        <f t="shared" si="65"/>
        <v>8</v>
      </c>
      <c r="W1218" s="44" t="s">
        <v>291</v>
      </c>
      <c r="X1218" t="s">
        <v>892</v>
      </c>
      <c r="Y1218">
        <v>1</v>
      </c>
      <c r="AA1218" s="13">
        <f t="shared" si="63"/>
        <v>232670</v>
      </c>
      <c r="AE1218" s="43"/>
      <c r="AL1218" s="87" t="s">
        <v>819</v>
      </c>
      <c r="AM1218" s="86">
        <v>487385</v>
      </c>
    </row>
    <row r="1219" spans="13:39" hidden="1">
      <c r="M1219" s="131">
        <v>234000</v>
      </c>
      <c r="N1219" s="223">
        <v>703541</v>
      </c>
      <c r="O1219" s="132" t="s">
        <v>244</v>
      </c>
      <c r="P1219" s="132" t="s">
        <v>245</v>
      </c>
      <c r="Q1219" s="133">
        <v>1413</v>
      </c>
      <c r="R1219" s="132" t="s">
        <v>279</v>
      </c>
      <c r="S1219" s="132" t="s">
        <v>11</v>
      </c>
      <c r="T1219" s="134">
        <v>42548</v>
      </c>
      <c r="U1219" s="172">
        <f t="shared" si="64"/>
        <v>2016</v>
      </c>
      <c r="V1219" s="172">
        <f t="shared" si="65"/>
        <v>6</v>
      </c>
      <c r="W1219" s="44" t="s">
        <v>280</v>
      </c>
      <c r="X1219" t="s">
        <v>892</v>
      </c>
      <c r="Y1219">
        <v>1</v>
      </c>
      <c r="AA1219" s="13">
        <f t="shared" si="63"/>
        <v>234000</v>
      </c>
      <c r="AE1219" s="43"/>
      <c r="AL1219" s="87" t="s">
        <v>819</v>
      </c>
      <c r="AM1219" s="86">
        <v>487385</v>
      </c>
    </row>
    <row r="1220" spans="13:39" hidden="1">
      <c r="M1220" s="131">
        <v>236000</v>
      </c>
      <c r="N1220" s="223">
        <v>513156</v>
      </c>
      <c r="O1220" s="132" t="s">
        <v>244</v>
      </c>
      <c r="P1220" s="132" t="s">
        <v>245</v>
      </c>
      <c r="Q1220" s="133">
        <v>103</v>
      </c>
      <c r="R1220" s="132" t="s">
        <v>279</v>
      </c>
      <c r="S1220" s="132" t="s">
        <v>11</v>
      </c>
      <c r="T1220" s="134">
        <v>42246</v>
      </c>
      <c r="U1220" s="172">
        <f t="shared" si="64"/>
        <v>2015</v>
      </c>
      <c r="V1220" s="172">
        <f t="shared" si="65"/>
        <v>8</v>
      </c>
      <c r="W1220" s="44" t="s">
        <v>291</v>
      </c>
      <c r="X1220" t="s">
        <v>892</v>
      </c>
      <c r="Y1220">
        <v>1</v>
      </c>
      <c r="AA1220" s="13">
        <f t="shared" ref="AA1220:AA1283" si="66">IF(M1220&lt;30000,Y1220*100*M1220*(1-$L$1)-$L$2*Y1220,M1220)</f>
        <v>236000</v>
      </c>
      <c r="AE1220" s="43"/>
      <c r="AL1220" s="87" t="s">
        <v>819</v>
      </c>
      <c r="AM1220" s="86">
        <v>487385</v>
      </c>
    </row>
    <row r="1221" spans="13:39" hidden="1">
      <c r="M1221" s="131">
        <v>236601</v>
      </c>
      <c r="N1221" s="222">
        <v>403668</v>
      </c>
      <c r="O1221" s="132" t="s">
        <v>244</v>
      </c>
      <c r="P1221" s="132" t="s">
        <v>245</v>
      </c>
      <c r="Q1221" s="133">
        <v>120</v>
      </c>
      <c r="R1221" s="132" t="s">
        <v>289</v>
      </c>
      <c r="S1221" s="132" t="s">
        <v>11</v>
      </c>
      <c r="T1221" s="134">
        <v>41652</v>
      </c>
      <c r="U1221" s="172">
        <f t="shared" si="64"/>
        <v>2014</v>
      </c>
      <c r="V1221" s="172">
        <f t="shared" si="65"/>
        <v>1</v>
      </c>
      <c r="W1221" s="44" t="s">
        <v>316</v>
      </c>
      <c r="X1221" t="s">
        <v>894</v>
      </c>
      <c r="Y1221">
        <v>1</v>
      </c>
      <c r="AA1221" s="13">
        <f t="shared" si="66"/>
        <v>236601</v>
      </c>
      <c r="AE1221" s="43"/>
      <c r="AL1221" s="87" t="s">
        <v>819</v>
      </c>
      <c r="AM1221" s="86">
        <v>487385</v>
      </c>
    </row>
    <row r="1222" spans="13:39" hidden="1">
      <c r="M1222" s="131">
        <v>237746</v>
      </c>
      <c r="N1222" s="223">
        <v>492837</v>
      </c>
      <c r="O1222" s="132" t="s">
        <v>244</v>
      </c>
      <c r="P1222" s="132" t="s">
        <v>245</v>
      </c>
      <c r="Q1222" s="133">
        <v>321</v>
      </c>
      <c r="R1222" s="132" t="s">
        <v>279</v>
      </c>
      <c r="S1222" s="132" t="s">
        <v>11</v>
      </c>
      <c r="T1222" s="134">
        <v>42246</v>
      </c>
      <c r="U1222" s="172">
        <f t="shared" si="64"/>
        <v>2015</v>
      </c>
      <c r="V1222" s="172">
        <f t="shared" si="65"/>
        <v>8</v>
      </c>
      <c r="W1222" s="44" t="s">
        <v>291</v>
      </c>
      <c r="X1222" t="s">
        <v>892</v>
      </c>
      <c r="Y1222">
        <v>1</v>
      </c>
      <c r="AA1222" s="13">
        <f t="shared" si="66"/>
        <v>237746</v>
      </c>
      <c r="AE1222" s="43"/>
      <c r="AL1222" s="87" t="s">
        <v>819</v>
      </c>
      <c r="AM1222" s="86">
        <v>487385</v>
      </c>
    </row>
    <row r="1223" spans="13:39" hidden="1">
      <c r="M1223" s="131">
        <v>238702</v>
      </c>
      <c r="N1223" s="223">
        <v>432688</v>
      </c>
      <c r="O1223" s="132" t="s">
        <v>244</v>
      </c>
      <c r="P1223" s="132" t="s">
        <v>245</v>
      </c>
      <c r="Q1223" s="133">
        <v>146</v>
      </c>
      <c r="R1223" s="132" t="s">
        <v>289</v>
      </c>
      <c r="S1223" s="132" t="s">
        <v>11</v>
      </c>
      <c r="T1223" s="134">
        <v>41652</v>
      </c>
      <c r="U1223" s="172">
        <f t="shared" ref="U1223:U1286" si="67">YEAR($T1223)</f>
        <v>2014</v>
      </c>
      <c r="V1223" s="172">
        <f t="shared" ref="V1223:V1286" si="68">MONTH($T1223)</f>
        <v>1</v>
      </c>
      <c r="W1223" s="44" t="s">
        <v>316</v>
      </c>
      <c r="X1223" t="s">
        <v>894</v>
      </c>
      <c r="Y1223">
        <v>1</v>
      </c>
      <c r="AA1223" s="13">
        <f t="shared" si="66"/>
        <v>238702</v>
      </c>
      <c r="AE1223" s="43"/>
      <c r="AL1223" s="87" t="s">
        <v>819</v>
      </c>
      <c r="AM1223" s="86">
        <v>487385</v>
      </c>
    </row>
    <row r="1224" spans="13:39" hidden="1">
      <c r="M1224" s="131">
        <v>241305</v>
      </c>
      <c r="N1224" s="222">
        <v>420816</v>
      </c>
      <c r="O1224" s="132" t="s">
        <v>244</v>
      </c>
      <c r="P1224" s="132" t="s">
        <v>245</v>
      </c>
      <c r="Q1224" s="133">
        <v>151</v>
      </c>
      <c r="R1224" s="132" t="s">
        <v>289</v>
      </c>
      <c r="S1224" s="132" t="s">
        <v>11</v>
      </c>
      <c r="T1224" s="134">
        <v>41652</v>
      </c>
      <c r="U1224" s="172">
        <f t="shared" si="67"/>
        <v>2014</v>
      </c>
      <c r="V1224" s="172">
        <f t="shared" si="68"/>
        <v>1</v>
      </c>
      <c r="W1224" s="44" t="s">
        <v>316</v>
      </c>
      <c r="X1224" t="s">
        <v>894</v>
      </c>
      <c r="Y1224">
        <v>1</v>
      </c>
      <c r="AA1224" s="13">
        <f t="shared" si="66"/>
        <v>241305</v>
      </c>
      <c r="AE1224" s="43"/>
      <c r="AL1224" s="87" t="s">
        <v>819</v>
      </c>
      <c r="AM1224" s="86">
        <v>487385</v>
      </c>
    </row>
    <row r="1225" spans="13:39" hidden="1">
      <c r="M1225" s="131">
        <v>242670</v>
      </c>
      <c r="N1225" s="223">
        <v>524556</v>
      </c>
      <c r="O1225" s="132" t="s">
        <v>244</v>
      </c>
      <c r="P1225" s="132" t="s">
        <v>245</v>
      </c>
      <c r="Q1225" s="133">
        <v>95</v>
      </c>
      <c r="R1225" s="132" t="s">
        <v>279</v>
      </c>
      <c r="S1225" s="132" t="s">
        <v>11</v>
      </c>
      <c r="T1225" s="134">
        <v>42246</v>
      </c>
      <c r="U1225" s="172">
        <f t="shared" si="67"/>
        <v>2015</v>
      </c>
      <c r="V1225" s="172">
        <f t="shared" si="68"/>
        <v>8</v>
      </c>
      <c r="W1225" s="44" t="s">
        <v>291</v>
      </c>
      <c r="X1225" t="s">
        <v>892</v>
      </c>
      <c r="Y1225">
        <v>1</v>
      </c>
      <c r="AA1225" s="13">
        <f t="shared" si="66"/>
        <v>242670</v>
      </c>
      <c r="AE1225" s="43"/>
      <c r="AL1225" s="87" t="s">
        <v>819</v>
      </c>
      <c r="AM1225" s="86">
        <v>487385</v>
      </c>
    </row>
    <row r="1226" spans="13:39" hidden="1">
      <c r="M1226" s="131">
        <v>243990</v>
      </c>
      <c r="N1226" s="223">
        <v>492837</v>
      </c>
      <c r="O1226" s="132" t="s">
        <v>244</v>
      </c>
      <c r="P1226" s="132" t="s">
        <v>245</v>
      </c>
      <c r="Q1226" s="133">
        <v>433</v>
      </c>
      <c r="R1226" s="132" t="s">
        <v>279</v>
      </c>
      <c r="S1226" s="132" t="s">
        <v>11</v>
      </c>
      <c r="T1226" s="134">
        <v>42246</v>
      </c>
      <c r="U1226" s="172">
        <f t="shared" si="67"/>
        <v>2015</v>
      </c>
      <c r="V1226" s="172">
        <f t="shared" si="68"/>
        <v>8</v>
      </c>
      <c r="W1226" s="44" t="s">
        <v>291</v>
      </c>
      <c r="X1226" t="s">
        <v>892</v>
      </c>
      <c r="Y1226">
        <v>1</v>
      </c>
      <c r="AA1226" s="13">
        <f t="shared" si="66"/>
        <v>243990</v>
      </c>
      <c r="AE1226" s="43"/>
      <c r="AL1226" s="87" t="s">
        <v>819</v>
      </c>
      <c r="AM1226" s="86">
        <v>487385</v>
      </c>
    </row>
    <row r="1227" spans="13:39" hidden="1">
      <c r="M1227" s="131">
        <v>245338</v>
      </c>
      <c r="N1227" s="222">
        <v>402349</v>
      </c>
      <c r="O1227" s="132" t="s">
        <v>244</v>
      </c>
      <c r="P1227" s="132" t="s">
        <v>245</v>
      </c>
      <c r="Q1227" s="133">
        <v>104</v>
      </c>
      <c r="R1227" s="132" t="s">
        <v>289</v>
      </c>
      <c r="S1227" s="132" t="s">
        <v>11</v>
      </c>
      <c r="T1227" s="134">
        <v>41652</v>
      </c>
      <c r="U1227" s="172">
        <f t="shared" si="67"/>
        <v>2014</v>
      </c>
      <c r="V1227" s="172">
        <f t="shared" si="68"/>
        <v>1</v>
      </c>
      <c r="W1227" s="44" t="s">
        <v>316</v>
      </c>
      <c r="X1227" t="s">
        <v>894</v>
      </c>
      <c r="Y1227">
        <v>1</v>
      </c>
      <c r="AA1227" s="13">
        <f t="shared" si="66"/>
        <v>245338</v>
      </c>
      <c r="AE1227" s="43"/>
      <c r="AL1227" s="87" t="s">
        <v>819</v>
      </c>
      <c r="AM1227" s="86">
        <v>487385</v>
      </c>
    </row>
    <row r="1228" spans="13:39" hidden="1">
      <c r="M1228" s="131">
        <v>245555</v>
      </c>
      <c r="N1228" s="223">
        <v>437085</v>
      </c>
      <c r="O1228" s="132" t="s">
        <v>244</v>
      </c>
      <c r="P1228" s="132" t="s">
        <v>245</v>
      </c>
      <c r="Q1228" s="133">
        <v>157</v>
      </c>
      <c r="R1228" s="132" t="s">
        <v>289</v>
      </c>
      <c r="S1228" s="132" t="s">
        <v>11</v>
      </c>
      <c r="T1228" s="134">
        <v>41652</v>
      </c>
      <c r="U1228" s="172">
        <f t="shared" si="67"/>
        <v>2014</v>
      </c>
      <c r="V1228" s="172">
        <f t="shared" si="68"/>
        <v>1</v>
      </c>
      <c r="W1228" s="44" t="s">
        <v>316</v>
      </c>
      <c r="X1228" t="s">
        <v>894</v>
      </c>
      <c r="Y1228">
        <v>1</v>
      </c>
      <c r="AA1228" s="13">
        <f t="shared" si="66"/>
        <v>245555</v>
      </c>
      <c r="AE1228" s="43"/>
      <c r="AL1228" s="87" t="s">
        <v>819</v>
      </c>
      <c r="AM1228" s="86">
        <v>487385</v>
      </c>
    </row>
    <row r="1229" spans="13:39" hidden="1">
      <c r="M1229" s="131">
        <v>250000</v>
      </c>
      <c r="N1229" s="222">
        <v>403228</v>
      </c>
      <c r="O1229" s="132" t="s">
        <v>244</v>
      </c>
      <c r="P1229" s="132" t="s">
        <v>245</v>
      </c>
      <c r="Q1229" s="133">
        <v>107</v>
      </c>
      <c r="R1229" s="132" t="s">
        <v>289</v>
      </c>
      <c r="S1229" s="132" t="s">
        <v>11</v>
      </c>
      <c r="T1229" s="134">
        <v>41652</v>
      </c>
      <c r="U1229" s="172">
        <f t="shared" si="67"/>
        <v>2014</v>
      </c>
      <c r="V1229" s="172">
        <f t="shared" si="68"/>
        <v>1</v>
      </c>
      <c r="W1229" s="44" t="s">
        <v>316</v>
      </c>
      <c r="X1229" t="s">
        <v>894</v>
      </c>
      <c r="Y1229">
        <v>1</v>
      </c>
      <c r="AA1229" s="13">
        <f t="shared" si="66"/>
        <v>250000</v>
      </c>
      <c r="AE1229" s="43"/>
      <c r="AL1229" s="87" t="s">
        <v>819</v>
      </c>
      <c r="AM1229" s="86">
        <v>487385</v>
      </c>
    </row>
    <row r="1230" spans="13:39" hidden="1">
      <c r="M1230" s="131">
        <v>250000</v>
      </c>
      <c r="N1230" s="222">
        <v>408540</v>
      </c>
      <c r="O1230" s="132" t="s">
        <v>244</v>
      </c>
      <c r="P1230" s="132" t="s">
        <v>245</v>
      </c>
      <c r="Q1230" s="133">
        <v>124</v>
      </c>
      <c r="R1230" s="132" t="s">
        <v>289</v>
      </c>
      <c r="S1230" s="132" t="s">
        <v>11</v>
      </c>
      <c r="T1230" s="134">
        <v>42288</v>
      </c>
      <c r="U1230" s="172">
        <f t="shared" si="67"/>
        <v>2015</v>
      </c>
      <c r="V1230" s="172">
        <f t="shared" si="68"/>
        <v>10</v>
      </c>
      <c r="W1230" s="44" t="s">
        <v>290</v>
      </c>
      <c r="X1230" t="s">
        <v>894</v>
      </c>
      <c r="Y1230">
        <v>1</v>
      </c>
      <c r="Z1230">
        <v>423</v>
      </c>
      <c r="AA1230" s="13">
        <f t="shared" si="66"/>
        <v>250000</v>
      </c>
      <c r="AE1230" s="43"/>
      <c r="AL1230" s="87" t="s">
        <v>819</v>
      </c>
      <c r="AM1230" s="86">
        <v>487385</v>
      </c>
    </row>
    <row r="1231" spans="13:39" hidden="1">
      <c r="M1231" s="131">
        <v>251100</v>
      </c>
      <c r="N1231" s="222">
        <v>405427</v>
      </c>
      <c r="O1231" s="132" t="s">
        <v>244</v>
      </c>
      <c r="P1231" s="132" t="s">
        <v>245</v>
      </c>
      <c r="Q1231" s="133">
        <v>123</v>
      </c>
      <c r="R1231" s="132" t="s">
        <v>289</v>
      </c>
      <c r="S1231" s="132" t="s">
        <v>11</v>
      </c>
      <c r="T1231" s="134">
        <v>41652</v>
      </c>
      <c r="U1231" s="172">
        <f t="shared" si="67"/>
        <v>2014</v>
      </c>
      <c r="V1231" s="172">
        <f t="shared" si="68"/>
        <v>1</v>
      </c>
      <c r="W1231" s="44" t="s">
        <v>316</v>
      </c>
      <c r="X1231" t="s">
        <v>894</v>
      </c>
      <c r="Y1231">
        <v>1</v>
      </c>
      <c r="AA1231" s="13">
        <f t="shared" si="66"/>
        <v>251100</v>
      </c>
      <c r="AE1231" s="43"/>
      <c r="AL1231" s="87" t="s">
        <v>819</v>
      </c>
      <c r="AM1231" s="86">
        <v>487882</v>
      </c>
    </row>
    <row r="1232" spans="13:39" hidden="1">
      <c r="M1232" s="131">
        <v>251601</v>
      </c>
      <c r="N1232" s="223">
        <v>534467</v>
      </c>
      <c r="O1232" s="132" t="s">
        <v>244</v>
      </c>
      <c r="P1232" s="132" t="s">
        <v>245</v>
      </c>
      <c r="Q1232" s="133">
        <v>425</v>
      </c>
      <c r="R1232" s="132" t="s">
        <v>279</v>
      </c>
      <c r="S1232" s="132" t="s">
        <v>11</v>
      </c>
      <c r="T1232" s="134">
        <v>42246</v>
      </c>
      <c r="U1232" s="172">
        <f t="shared" si="67"/>
        <v>2015</v>
      </c>
      <c r="V1232" s="172">
        <f t="shared" si="68"/>
        <v>8</v>
      </c>
      <c r="W1232" s="44" t="s">
        <v>291</v>
      </c>
      <c r="X1232" t="s">
        <v>892</v>
      </c>
      <c r="Y1232">
        <v>1</v>
      </c>
      <c r="AA1232" s="13">
        <f t="shared" si="66"/>
        <v>251601</v>
      </c>
      <c r="AE1232" s="43"/>
      <c r="AL1232" s="87" t="s">
        <v>819</v>
      </c>
      <c r="AM1232" s="86">
        <v>487882</v>
      </c>
    </row>
    <row r="1233" spans="13:39" hidden="1">
      <c r="M1233" s="131">
        <v>253500</v>
      </c>
      <c r="N1233" s="223">
        <v>436646</v>
      </c>
      <c r="O1233" s="132" t="s">
        <v>244</v>
      </c>
      <c r="P1233" s="132" t="s">
        <v>245</v>
      </c>
      <c r="Q1233" s="133">
        <v>142</v>
      </c>
      <c r="R1233" s="132" t="s">
        <v>289</v>
      </c>
      <c r="S1233" s="132" t="s">
        <v>11</v>
      </c>
      <c r="T1233" s="134">
        <v>41652</v>
      </c>
      <c r="U1233" s="172">
        <f t="shared" si="67"/>
        <v>2014</v>
      </c>
      <c r="V1233" s="172">
        <f t="shared" si="68"/>
        <v>1</v>
      </c>
      <c r="W1233" s="44" t="s">
        <v>316</v>
      </c>
      <c r="X1233" t="s">
        <v>894</v>
      </c>
      <c r="Y1233">
        <v>1</v>
      </c>
      <c r="AA1233" s="13">
        <f t="shared" si="66"/>
        <v>253500</v>
      </c>
      <c r="AE1233" s="43"/>
      <c r="AL1233" s="87" t="s">
        <v>819</v>
      </c>
      <c r="AM1233" s="86">
        <v>487882</v>
      </c>
    </row>
    <row r="1234" spans="13:39" hidden="1">
      <c r="M1234" s="131">
        <v>255000</v>
      </c>
      <c r="N1234" s="222">
        <v>401030</v>
      </c>
      <c r="O1234" s="132" t="s">
        <v>244</v>
      </c>
      <c r="P1234" s="132" t="s">
        <v>245</v>
      </c>
      <c r="Q1234" s="133">
        <v>122</v>
      </c>
      <c r="R1234" s="132" t="s">
        <v>289</v>
      </c>
      <c r="S1234" s="132" t="s">
        <v>11</v>
      </c>
      <c r="T1234" s="134">
        <v>41652</v>
      </c>
      <c r="U1234" s="172">
        <f t="shared" si="67"/>
        <v>2014</v>
      </c>
      <c r="V1234" s="172">
        <f t="shared" si="68"/>
        <v>1</v>
      </c>
      <c r="W1234" s="44" t="s">
        <v>316</v>
      </c>
      <c r="X1234" t="s">
        <v>894</v>
      </c>
      <c r="Y1234">
        <v>1</v>
      </c>
      <c r="AA1234" s="13">
        <f t="shared" si="66"/>
        <v>255000</v>
      </c>
      <c r="AE1234" s="43"/>
      <c r="AL1234" s="87" t="s">
        <v>819</v>
      </c>
      <c r="AM1234" s="86">
        <v>487882</v>
      </c>
    </row>
    <row r="1235" spans="13:39" hidden="1">
      <c r="M1235" s="131">
        <v>256026</v>
      </c>
      <c r="N1235" s="223">
        <v>445879</v>
      </c>
      <c r="O1235" s="132" t="s">
        <v>244</v>
      </c>
      <c r="P1235" s="132" t="s">
        <v>245</v>
      </c>
      <c r="Q1235" s="133">
        <v>132</v>
      </c>
      <c r="R1235" s="132" t="s">
        <v>289</v>
      </c>
      <c r="S1235" s="132" t="s">
        <v>11</v>
      </c>
      <c r="T1235" s="134">
        <v>41652</v>
      </c>
      <c r="U1235" s="172">
        <f t="shared" si="67"/>
        <v>2014</v>
      </c>
      <c r="V1235" s="172">
        <f t="shared" si="68"/>
        <v>1</v>
      </c>
      <c r="W1235" s="44" t="s">
        <v>316</v>
      </c>
      <c r="X1235" t="s">
        <v>894</v>
      </c>
      <c r="Y1235">
        <v>1</v>
      </c>
      <c r="AA1235" s="13">
        <f t="shared" si="66"/>
        <v>256026</v>
      </c>
      <c r="AE1235" s="43"/>
      <c r="AL1235" s="87" t="s">
        <v>819</v>
      </c>
      <c r="AM1235" s="86">
        <v>487882</v>
      </c>
    </row>
    <row r="1236" spans="13:39" hidden="1">
      <c r="M1236" s="131">
        <v>256555</v>
      </c>
      <c r="N1236" s="222">
        <v>403668</v>
      </c>
      <c r="O1236" s="132" t="s">
        <v>244</v>
      </c>
      <c r="P1236" s="132" t="s">
        <v>245</v>
      </c>
      <c r="Q1236" s="133">
        <v>119</v>
      </c>
      <c r="R1236" s="132" t="s">
        <v>289</v>
      </c>
      <c r="S1236" s="132" t="s">
        <v>11</v>
      </c>
      <c r="T1236" s="134">
        <v>41652</v>
      </c>
      <c r="U1236" s="172">
        <f t="shared" si="67"/>
        <v>2014</v>
      </c>
      <c r="V1236" s="172">
        <f t="shared" si="68"/>
        <v>1</v>
      </c>
      <c r="W1236" s="44" t="s">
        <v>316</v>
      </c>
      <c r="X1236" t="s">
        <v>894</v>
      </c>
      <c r="Y1236">
        <v>1</v>
      </c>
      <c r="AA1236" s="13">
        <f t="shared" si="66"/>
        <v>256555</v>
      </c>
      <c r="AE1236" s="43"/>
      <c r="AL1236" s="87" t="s">
        <v>819</v>
      </c>
      <c r="AM1236" s="86">
        <v>487882</v>
      </c>
    </row>
    <row r="1237" spans="13:39" hidden="1">
      <c r="M1237" s="131">
        <v>256759</v>
      </c>
      <c r="N1237" s="223">
        <v>693289</v>
      </c>
      <c r="O1237" s="132" t="s">
        <v>244</v>
      </c>
      <c r="P1237" s="132" t="s">
        <v>245</v>
      </c>
      <c r="Q1237" s="133">
        <v>1359</v>
      </c>
      <c r="R1237" s="132" t="s">
        <v>279</v>
      </c>
      <c r="S1237" s="132" t="s">
        <v>11</v>
      </c>
      <c r="T1237" s="134">
        <v>42548</v>
      </c>
      <c r="U1237" s="172">
        <f t="shared" si="67"/>
        <v>2016</v>
      </c>
      <c r="V1237" s="172">
        <f t="shared" si="68"/>
        <v>6</v>
      </c>
      <c r="W1237" s="44" t="s">
        <v>280</v>
      </c>
      <c r="X1237" t="s">
        <v>892</v>
      </c>
      <c r="Y1237">
        <v>1</v>
      </c>
      <c r="AA1237" s="13">
        <f t="shared" si="66"/>
        <v>256759</v>
      </c>
      <c r="AE1237" s="43"/>
      <c r="AL1237" s="87" t="s">
        <v>819</v>
      </c>
      <c r="AM1237" s="86">
        <v>487882</v>
      </c>
    </row>
    <row r="1238" spans="13:39" hidden="1">
      <c r="M1238" s="131">
        <v>256789</v>
      </c>
      <c r="N1238" s="223">
        <v>446319</v>
      </c>
      <c r="O1238" s="132" t="s">
        <v>244</v>
      </c>
      <c r="P1238" s="132" t="s">
        <v>245</v>
      </c>
      <c r="Q1238" s="133">
        <v>139</v>
      </c>
      <c r="R1238" s="132" t="s">
        <v>289</v>
      </c>
      <c r="S1238" s="132" t="s">
        <v>11</v>
      </c>
      <c r="T1238" s="134">
        <v>41652</v>
      </c>
      <c r="U1238" s="172">
        <f t="shared" si="67"/>
        <v>2014</v>
      </c>
      <c r="V1238" s="172">
        <f t="shared" si="68"/>
        <v>1</v>
      </c>
      <c r="W1238" s="44" t="s">
        <v>316</v>
      </c>
      <c r="X1238" t="s">
        <v>894</v>
      </c>
      <c r="Y1238">
        <v>1</v>
      </c>
      <c r="AA1238" s="13">
        <f t="shared" si="66"/>
        <v>256789</v>
      </c>
      <c r="AE1238" s="43"/>
      <c r="AL1238" s="87" t="s">
        <v>819</v>
      </c>
      <c r="AM1238" s="86">
        <v>487882</v>
      </c>
    </row>
    <row r="1239" spans="13:39" hidden="1">
      <c r="M1239" s="131">
        <v>258155</v>
      </c>
      <c r="N1239" s="223">
        <v>491845</v>
      </c>
      <c r="O1239" s="132" t="s">
        <v>244</v>
      </c>
      <c r="P1239" s="132" t="s">
        <v>245</v>
      </c>
      <c r="Q1239" s="133">
        <v>16</v>
      </c>
      <c r="R1239" s="132" t="s">
        <v>279</v>
      </c>
      <c r="S1239" s="132" t="s">
        <v>11</v>
      </c>
      <c r="T1239" s="134">
        <v>42246</v>
      </c>
      <c r="U1239" s="172">
        <f t="shared" si="67"/>
        <v>2015</v>
      </c>
      <c r="V1239" s="172">
        <f t="shared" si="68"/>
        <v>8</v>
      </c>
      <c r="W1239" s="44" t="s">
        <v>291</v>
      </c>
      <c r="X1239" t="s">
        <v>892</v>
      </c>
      <c r="Y1239">
        <v>1</v>
      </c>
      <c r="AA1239" s="13">
        <f t="shared" si="66"/>
        <v>258155</v>
      </c>
      <c r="AE1239" s="43"/>
      <c r="AL1239" s="87" t="s">
        <v>819</v>
      </c>
      <c r="AM1239" s="86">
        <v>48805013</v>
      </c>
    </row>
    <row r="1240" spans="13:39" hidden="1">
      <c r="M1240" s="131">
        <v>260000</v>
      </c>
      <c r="N1240" s="222">
        <v>384711</v>
      </c>
      <c r="O1240" s="132" t="s">
        <v>244</v>
      </c>
      <c r="P1240" s="132" t="s">
        <v>245</v>
      </c>
      <c r="Q1240" s="133">
        <v>10</v>
      </c>
      <c r="R1240" s="132" t="s">
        <v>289</v>
      </c>
      <c r="S1240" s="132" t="s">
        <v>11</v>
      </c>
      <c r="T1240" s="134">
        <v>41652</v>
      </c>
      <c r="U1240" s="172">
        <f t="shared" si="67"/>
        <v>2014</v>
      </c>
      <c r="V1240" s="172">
        <f t="shared" si="68"/>
        <v>1</v>
      </c>
      <c r="W1240" s="44" t="s">
        <v>316</v>
      </c>
      <c r="X1240" t="s">
        <v>894</v>
      </c>
      <c r="Y1240">
        <v>1</v>
      </c>
      <c r="AA1240" s="13">
        <f t="shared" si="66"/>
        <v>260000</v>
      </c>
      <c r="AE1240" s="43"/>
      <c r="AL1240" s="87" t="s">
        <v>819</v>
      </c>
      <c r="AM1240" s="86">
        <v>4882948</v>
      </c>
    </row>
    <row r="1241" spans="13:39" hidden="1">
      <c r="M1241" s="131">
        <v>261111</v>
      </c>
      <c r="N1241" s="223">
        <v>457751</v>
      </c>
      <c r="O1241" s="132" t="s">
        <v>244</v>
      </c>
      <c r="P1241" s="132" t="s">
        <v>245</v>
      </c>
      <c r="Q1241" s="133">
        <v>154</v>
      </c>
      <c r="R1241" s="132" t="s">
        <v>289</v>
      </c>
      <c r="S1241" s="132" t="s">
        <v>11</v>
      </c>
      <c r="T1241" s="134">
        <v>41652</v>
      </c>
      <c r="U1241" s="172">
        <f t="shared" si="67"/>
        <v>2014</v>
      </c>
      <c r="V1241" s="172">
        <f t="shared" si="68"/>
        <v>1</v>
      </c>
      <c r="W1241" s="44" t="s">
        <v>316</v>
      </c>
      <c r="X1241" t="s">
        <v>894</v>
      </c>
      <c r="Y1241">
        <v>1</v>
      </c>
      <c r="AA1241" s="13">
        <f t="shared" si="66"/>
        <v>261111</v>
      </c>
      <c r="AE1241" s="43"/>
      <c r="AL1241" s="87" t="s">
        <v>819</v>
      </c>
      <c r="AM1241" s="86">
        <v>488377</v>
      </c>
    </row>
    <row r="1242" spans="13:39" hidden="1">
      <c r="M1242" s="131">
        <v>268501</v>
      </c>
      <c r="N1242" s="223">
        <v>432688</v>
      </c>
      <c r="O1242" s="132" t="s">
        <v>244</v>
      </c>
      <c r="P1242" s="132" t="s">
        <v>245</v>
      </c>
      <c r="Q1242" s="133">
        <v>145</v>
      </c>
      <c r="R1242" s="132" t="s">
        <v>289</v>
      </c>
      <c r="S1242" s="132" t="s">
        <v>11</v>
      </c>
      <c r="T1242" s="134">
        <v>41652</v>
      </c>
      <c r="U1242" s="172">
        <f t="shared" si="67"/>
        <v>2014</v>
      </c>
      <c r="V1242" s="172">
        <f t="shared" si="68"/>
        <v>1</v>
      </c>
      <c r="W1242" s="44" t="s">
        <v>316</v>
      </c>
      <c r="X1242" t="s">
        <v>894</v>
      </c>
      <c r="Y1242">
        <v>1</v>
      </c>
      <c r="AA1242" s="13">
        <f t="shared" si="66"/>
        <v>268501</v>
      </c>
      <c r="AE1242" s="43"/>
      <c r="AL1242" s="87" t="s">
        <v>819</v>
      </c>
      <c r="AM1242" s="86">
        <v>488377</v>
      </c>
    </row>
    <row r="1243" spans="13:39" hidden="1">
      <c r="M1243" s="131">
        <v>269000</v>
      </c>
      <c r="N1243" s="222">
        <v>417689</v>
      </c>
      <c r="O1243" s="132" t="s">
        <v>244</v>
      </c>
      <c r="P1243" s="132" t="s">
        <v>245</v>
      </c>
      <c r="Q1243" s="133">
        <v>17</v>
      </c>
      <c r="R1243" s="132" t="s">
        <v>289</v>
      </c>
      <c r="S1243" s="132" t="s">
        <v>11</v>
      </c>
      <c r="T1243" s="134">
        <v>41652</v>
      </c>
      <c r="U1243" s="172">
        <f t="shared" si="67"/>
        <v>2014</v>
      </c>
      <c r="V1243" s="172">
        <f t="shared" si="68"/>
        <v>1</v>
      </c>
      <c r="W1243" s="44" t="s">
        <v>316</v>
      </c>
      <c r="X1243" t="s">
        <v>894</v>
      </c>
      <c r="Y1243">
        <v>1</v>
      </c>
      <c r="AA1243" s="13">
        <f t="shared" si="66"/>
        <v>269000</v>
      </c>
      <c r="AE1243" s="43"/>
      <c r="AL1243" s="87" t="s">
        <v>819</v>
      </c>
      <c r="AM1243" s="86">
        <v>488377</v>
      </c>
    </row>
    <row r="1244" spans="13:39" hidden="1">
      <c r="M1244" s="131">
        <v>271254</v>
      </c>
      <c r="N1244" s="222">
        <v>408065</v>
      </c>
      <c r="O1244" s="132" t="s">
        <v>244</v>
      </c>
      <c r="P1244" s="132" t="s">
        <v>245</v>
      </c>
      <c r="Q1244" s="133">
        <v>118</v>
      </c>
      <c r="R1244" s="132" t="s">
        <v>289</v>
      </c>
      <c r="S1244" s="132" t="s">
        <v>11</v>
      </c>
      <c r="T1244" s="134">
        <v>41652</v>
      </c>
      <c r="U1244" s="172">
        <f t="shared" si="67"/>
        <v>2014</v>
      </c>
      <c r="V1244" s="172">
        <f t="shared" si="68"/>
        <v>1</v>
      </c>
      <c r="W1244" s="44" t="s">
        <v>316</v>
      </c>
      <c r="X1244" t="s">
        <v>894</v>
      </c>
      <c r="Y1244">
        <v>1</v>
      </c>
      <c r="AA1244" s="13">
        <f t="shared" si="66"/>
        <v>271254</v>
      </c>
      <c r="AE1244" s="43"/>
      <c r="AL1244" s="87" t="s">
        <v>819</v>
      </c>
      <c r="AM1244" s="86">
        <v>488377</v>
      </c>
    </row>
    <row r="1245" spans="13:39" hidden="1">
      <c r="M1245" s="131">
        <v>276000</v>
      </c>
      <c r="N1245" s="222">
        <v>385151</v>
      </c>
      <c r="O1245" s="132" t="s">
        <v>244</v>
      </c>
      <c r="P1245" s="132" t="s">
        <v>245</v>
      </c>
      <c r="Q1245" s="133">
        <v>14</v>
      </c>
      <c r="R1245" s="132" t="s">
        <v>289</v>
      </c>
      <c r="S1245" s="132" t="s">
        <v>11</v>
      </c>
      <c r="T1245" s="134">
        <v>41652</v>
      </c>
      <c r="U1245" s="172">
        <f t="shared" si="67"/>
        <v>2014</v>
      </c>
      <c r="V1245" s="172">
        <f t="shared" si="68"/>
        <v>1</v>
      </c>
      <c r="W1245" s="44" t="s">
        <v>316</v>
      </c>
      <c r="X1245" t="s">
        <v>894</v>
      </c>
      <c r="Y1245">
        <v>1</v>
      </c>
      <c r="AA1245" s="13">
        <f t="shared" si="66"/>
        <v>276000</v>
      </c>
      <c r="AE1245" s="43"/>
      <c r="AL1245" s="87" t="s">
        <v>819</v>
      </c>
      <c r="AM1245" s="86">
        <v>488377</v>
      </c>
    </row>
    <row r="1246" spans="13:39" hidden="1">
      <c r="M1246" s="131">
        <v>277169</v>
      </c>
      <c r="N1246" s="222">
        <v>401909</v>
      </c>
      <c r="O1246" s="132" t="s">
        <v>244</v>
      </c>
      <c r="P1246" s="132" t="s">
        <v>245</v>
      </c>
      <c r="Q1246" s="133">
        <v>105</v>
      </c>
      <c r="R1246" s="132" t="s">
        <v>289</v>
      </c>
      <c r="S1246" s="132" t="s">
        <v>11</v>
      </c>
      <c r="T1246" s="134">
        <v>41652</v>
      </c>
      <c r="U1246" s="172">
        <f t="shared" si="67"/>
        <v>2014</v>
      </c>
      <c r="V1246" s="172">
        <f t="shared" si="68"/>
        <v>1</v>
      </c>
      <c r="W1246" s="44" t="s">
        <v>316</v>
      </c>
      <c r="X1246" t="s">
        <v>894</v>
      </c>
      <c r="Y1246">
        <v>1</v>
      </c>
      <c r="AA1246" s="13">
        <f t="shared" si="66"/>
        <v>277169</v>
      </c>
      <c r="AE1246" s="43"/>
      <c r="AL1246" s="87" t="s">
        <v>819</v>
      </c>
      <c r="AM1246" s="86">
        <v>488377</v>
      </c>
    </row>
    <row r="1247" spans="13:39" hidden="1">
      <c r="M1247" s="131">
        <v>280000</v>
      </c>
      <c r="N1247" s="223">
        <v>433568</v>
      </c>
      <c r="O1247" s="132" t="s">
        <v>244</v>
      </c>
      <c r="P1247" s="132" t="s">
        <v>245</v>
      </c>
      <c r="Q1247" s="133">
        <v>115</v>
      </c>
      <c r="R1247" s="132" t="s">
        <v>289</v>
      </c>
      <c r="S1247" s="132" t="s">
        <v>11</v>
      </c>
      <c r="T1247" s="134">
        <v>41652</v>
      </c>
      <c r="U1247" s="172">
        <f t="shared" si="67"/>
        <v>2014</v>
      </c>
      <c r="V1247" s="172">
        <f t="shared" si="68"/>
        <v>1</v>
      </c>
      <c r="W1247" s="44" t="s">
        <v>316</v>
      </c>
      <c r="X1247" t="s">
        <v>894</v>
      </c>
      <c r="Y1247">
        <v>1</v>
      </c>
      <c r="AA1247" s="13">
        <f t="shared" si="66"/>
        <v>280000</v>
      </c>
      <c r="AE1247" s="43"/>
      <c r="AL1247" s="87" t="s">
        <v>819</v>
      </c>
      <c r="AM1247" s="86">
        <v>488377</v>
      </c>
    </row>
    <row r="1248" spans="13:39" hidden="1">
      <c r="M1248" s="131">
        <v>281000</v>
      </c>
      <c r="N1248" s="222">
        <v>384711</v>
      </c>
      <c r="O1248" s="132" t="s">
        <v>244</v>
      </c>
      <c r="P1248" s="132" t="s">
        <v>245</v>
      </c>
      <c r="Q1248" s="133">
        <v>11</v>
      </c>
      <c r="R1248" s="132" t="s">
        <v>289</v>
      </c>
      <c r="S1248" s="132" t="s">
        <v>11</v>
      </c>
      <c r="T1248" s="134">
        <v>41652</v>
      </c>
      <c r="U1248" s="172">
        <f t="shared" si="67"/>
        <v>2014</v>
      </c>
      <c r="V1248" s="172">
        <f t="shared" si="68"/>
        <v>1</v>
      </c>
      <c r="W1248" s="44" t="s">
        <v>316</v>
      </c>
      <c r="X1248" t="s">
        <v>894</v>
      </c>
      <c r="Y1248">
        <v>1</v>
      </c>
      <c r="AA1248" s="13">
        <f t="shared" si="66"/>
        <v>281000</v>
      </c>
      <c r="AE1248" s="43"/>
      <c r="AL1248" s="87" t="s">
        <v>819</v>
      </c>
      <c r="AM1248" s="86">
        <v>488377</v>
      </c>
    </row>
    <row r="1249" spans="13:39" hidden="1">
      <c r="M1249" s="131">
        <v>284167</v>
      </c>
      <c r="N1249" s="223">
        <v>491350</v>
      </c>
      <c r="O1249" s="132" t="s">
        <v>244</v>
      </c>
      <c r="P1249" s="132" t="s">
        <v>245</v>
      </c>
      <c r="Q1249" s="133">
        <v>33</v>
      </c>
      <c r="R1249" s="132" t="s">
        <v>279</v>
      </c>
      <c r="S1249" s="132" t="s">
        <v>11</v>
      </c>
      <c r="T1249" s="134">
        <v>42246</v>
      </c>
      <c r="U1249" s="172">
        <f t="shared" si="67"/>
        <v>2015</v>
      </c>
      <c r="V1249" s="172">
        <f t="shared" si="68"/>
        <v>8</v>
      </c>
      <c r="W1249" s="44" t="s">
        <v>291</v>
      </c>
      <c r="X1249" t="s">
        <v>892</v>
      </c>
      <c r="Y1249">
        <v>1</v>
      </c>
      <c r="AA1249" s="13">
        <f t="shared" si="66"/>
        <v>284167</v>
      </c>
      <c r="AE1249" s="43"/>
      <c r="AL1249" s="87" t="s">
        <v>819</v>
      </c>
      <c r="AM1249" s="86">
        <v>488377</v>
      </c>
    </row>
    <row r="1250" spans="13:39" hidden="1">
      <c r="M1250" s="131">
        <v>285000</v>
      </c>
      <c r="N1250" s="223">
        <v>516625</v>
      </c>
      <c r="O1250" s="132" t="s">
        <v>244</v>
      </c>
      <c r="P1250" s="132" t="s">
        <v>245</v>
      </c>
      <c r="Q1250" s="133">
        <v>104</v>
      </c>
      <c r="R1250" s="132" t="s">
        <v>279</v>
      </c>
      <c r="S1250" s="132" t="s">
        <v>11</v>
      </c>
      <c r="T1250" s="134">
        <v>42246</v>
      </c>
      <c r="U1250" s="172">
        <f t="shared" si="67"/>
        <v>2015</v>
      </c>
      <c r="V1250" s="172">
        <f t="shared" si="68"/>
        <v>8</v>
      </c>
      <c r="W1250" s="44" t="s">
        <v>291</v>
      </c>
      <c r="X1250" t="s">
        <v>892</v>
      </c>
      <c r="Y1250">
        <v>1</v>
      </c>
      <c r="AA1250" s="13">
        <f t="shared" si="66"/>
        <v>285000</v>
      </c>
      <c r="AE1250" s="43"/>
      <c r="AL1250" s="87" t="s">
        <v>819</v>
      </c>
      <c r="AM1250" s="86">
        <v>488377</v>
      </c>
    </row>
    <row r="1251" spans="13:39" hidden="1">
      <c r="M1251" s="131">
        <v>288466</v>
      </c>
      <c r="N1251" s="222">
        <v>429610</v>
      </c>
      <c r="O1251" s="132" t="s">
        <v>244</v>
      </c>
      <c r="P1251" s="132" t="s">
        <v>245</v>
      </c>
      <c r="Q1251" s="133">
        <v>130</v>
      </c>
      <c r="R1251" s="132" t="s">
        <v>289</v>
      </c>
      <c r="S1251" s="132" t="s">
        <v>11</v>
      </c>
      <c r="T1251" s="134">
        <v>41652</v>
      </c>
      <c r="U1251" s="172">
        <f t="shared" si="67"/>
        <v>2014</v>
      </c>
      <c r="V1251" s="172">
        <f t="shared" si="68"/>
        <v>1</v>
      </c>
      <c r="W1251" s="44" t="s">
        <v>316</v>
      </c>
      <c r="X1251" t="s">
        <v>894</v>
      </c>
      <c r="Y1251">
        <v>1</v>
      </c>
      <c r="AA1251" s="13">
        <f t="shared" si="66"/>
        <v>288466</v>
      </c>
      <c r="AE1251" s="43"/>
      <c r="AL1251" s="87" t="s">
        <v>819</v>
      </c>
      <c r="AM1251" s="86">
        <v>488377</v>
      </c>
    </row>
    <row r="1252" spans="13:39" hidden="1">
      <c r="M1252" s="131">
        <v>295555</v>
      </c>
      <c r="N1252" s="223">
        <v>436646</v>
      </c>
      <c r="O1252" s="132" t="s">
        <v>244</v>
      </c>
      <c r="P1252" s="132" t="s">
        <v>245</v>
      </c>
      <c r="Q1252" s="133">
        <v>141</v>
      </c>
      <c r="R1252" s="132" t="s">
        <v>289</v>
      </c>
      <c r="S1252" s="132" t="s">
        <v>11</v>
      </c>
      <c r="T1252" s="134">
        <v>41652</v>
      </c>
      <c r="U1252" s="172">
        <f t="shared" si="67"/>
        <v>2014</v>
      </c>
      <c r="V1252" s="172">
        <f t="shared" si="68"/>
        <v>1</v>
      </c>
      <c r="W1252" s="44" t="s">
        <v>316</v>
      </c>
      <c r="X1252" t="s">
        <v>894</v>
      </c>
      <c r="Y1252">
        <v>1</v>
      </c>
      <c r="AA1252" s="13">
        <f t="shared" si="66"/>
        <v>295555</v>
      </c>
      <c r="AE1252" s="43"/>
      <c r="AL1252" s="87" t="s">
        <v>819</v>
      </c>
      <c r="AM1252" s="86">
        <v>488377</v>
      </c>
    </row>
    <row r="1253" spans="13:39" hidden="1">
      <c r="M1253" s="131">
        <v>296012</v>
      </c>
      <c r="N1253" s="223">
        <v>467425</v>
      </c>
      <c r="O1253" s="132" t="s">
        <v>244</v>
      </c>
      <c r="P1253" s="132" t="s">
        <v>245</v>
      </c>
      <c r="Q1253" s="133">
        <v>113</v>
      </c>
      <c r="R1253" s="132" t="s">
        <v>289</v>
      </c>
      <c r="S1253" s="132" t="s">
        <v>11</v>
      </c>
      <c r="T1253" s="134">
        <v>41652</v>
      </c>
      <c r="U1253" s="172">
        <f t="shared" si="67"/>
        <v>2014</v>
      </c>
      <c r="V1253" s="172">
        <f t="shared" si="68"/>
        <v>1</v>
      </c>
      <c r="W1253" s="44" t="s">
        <v>316</v>
      </c>
      <c r="X1253" t="s">
        <v>894</v>
      </c>
      <c r="Y1253">
        <v>1</v>
      </c>
      <c r="AA1253" s="13">
        <f t="shared" si="66"/>
        <v>296012</v>
      </c>
      <c r="AE1253" s="43"/>
      <c r="AL1253" s="87" t="s">
        <v>819</v>
      </c>
      <c r="AM1253" s="86">
        <v>488377</v>
      </c>
    </row>
    <row r="1254" spans="13:39" hidden="1">
      <c r="M1254" s="131">
        <v>297572</v>
      </c>
      <c r="N1254" s="222">
        <v>407185</v>
      </c>
      <c r="O1254" s="132" t="s">
        <v>244</v>
      </c>
      <c r="P1254" s="132" t="s">
        <v>245</v>
      </c>
      <c r="Q1254" s="133">
        <v>125</v>
      </c>
      <c r="R1254" s="132" t="s">
        <v>289</v>
      </c>
      <c r="S1254" s="132" t="s">
        <v>11</v>
      </c>
      <c r="T1254" s="134">
        <v>41652</v>
      </c>
      <c r="U1254" s="172">
        <f t="shared" si="67"/>
        <v>2014</v>
      </c>
      <c r="V1254" s="172">
        <f t="shared" si="68"/>
        <v>1</v>
      </c>
      <c r="W1254" s="44" t="s">
        <v>316</v>
      </c>
      <c r="X1254" t="s">
        <v>894</v>
      </c>
      <c r="Y1254">
        <v>1</v>
      </c>
      <c r="AA1254" s="13">
        <f t="shared" si="66"/>
        <v>297572</v>
      </c>
      <c r="AE1254" s="43"/>
      <c r="AL1254" s="87" t="s">
        <v>819</v>
      </c>
      <c r="AM1254" s="86">
        <v>488377</v>
      </c>
    </row>
    <row r="1255" spans="13:39" hidden="1">
      <c r="M1255" s="131">
        <v>300055</v>
      </c>
      <c r="N1255" s="222">
        <v>427852</v>
      </c>
      <c r="O1255" s="132" t="s">
        <v>244</v>
      </c>
      <c r="P1255" s="132" t="s">
        <v>245</v>
      </c>
      <c r="Q1255" s="133">
        <v>112</v>
      </c>
      <c r="R1255" s="132" t="s">
        <v>289</v>
      </c>
      <c r="S1255" s="132" t="s">
        <v>11</v>
      </c>
      <c r="T1255" s="134">
        <v>41652</v>
      </c>
      <c r="U1255" s="172">
        <f t="shared" si="67"/>
        <v>2014</v>
      </c>
      <c r="V1255" s="172">
        <f t="shared" si="68"/>
        <v>1</v>
      </c>
      <c r="W1255" s="44" t="s">
        <v>316</v>
      </c>
      <c r="X1255" t="s">
        <v>894</v>
      </c>
      <c r="Y1255">
        <v>1</v>
      </c>
      <c r="AA1255" s="13">
        <f t="shared" si="66"/>
        <v>300055</v>
      </c>
      <c r="AE1255" s="43"/>
      <c r="AL1255" s="87" t="s">
        <v>819</v>
      </c>
      <c r="AM1255" s="86">
        <v>488377</v>
      </c>
    </row>
    <row r="1256" spans="13:39" hidden="1">
      <c r="M1256" s="131">
        <v>305556</v>
      </c>
      <c r="N1256" s="223">
        <v>439723</v>
      </c>
      <c r="O1256" s="132" t="s">
        <v>244</v>
      </c>
      <c r="P1256" s="132" t="s">
        <v>245</v>
      </c>
      <c r="Q1256" s="133">
        <v>117</v>
      </c>
      <c r="R1256" s="132" t="s">
        <v>289</v>
      </c>
      <c r="S1256" s="132" t="s">
        <v>11</v>
      </c>
      <c r="T1256" s="134">
        <v>41652</v>
      </c>
      <c r="U1256" s="172">
        <f t="shared" si="67"/>
        <v>2014</v>
      </c>
      <c r="V1256" s="172">
        <f t="shared" si="68"/>
        <v>1</v>
      </c>
      <c r="W1256" s="44" t="s">
        <v>316</v>
      </c>
      <c r="X1256" t="s">
        <v>894</v>
      </c>
      <c r="Y1256">
        <v>1</v>
      </c>
      <c r="AA1256" s="13">
        <f t="shared" si="66"/>
        <v>305556</v>
      </c>
      <c r="AE1256" s="43"/>
      <c r="AL1256" s="87" t="s">
        <v>819</v>
      </c>
      <c r="AM1256" s="86">
        <v>488377</v>
      </c>
    </row>
    <row r="1257" spans="13:39" hidden="1">
      <c r="M1257" s="131">
        <v>305905</v>
      </c>
      <c r="N1257" s="222">
        <v>384711</v>
      </c>
      <c r="O1257" s="132" t="s">
        <v>244</v>
      </c>
      <c r="P1257" s="132" t="s">
        <v>245</v>
      </c>
      <c r="Q1257" s="133">
        <v>16</v>
      </c>
      <c r="R1257" s="132" t="s">
        <v>289</v>
      </c>
      <c r="S1257" s="132" t="s">
        <v>11</v>
      </c>
      <c r="T1257" s="134">
        <v>41652</v>
      </c>
      <c r="U1257" s="172">
        <f t="shared" si="67"/>
        <v>2014</v>
      </c>
      <c r="V1257" s="172">
        <f t="shared" si="68"/>
        <v>1</v>
      </c>
      <c r="W1257" s="44" t="s">
        <v>316</v>
      </c>
      <c r="X1257" t="s">
        <v>894</v>
      </c>
      <c r="Y1257">
        <v>1</v>
      </c>
      <c r="AA1257" s="13">
        <f t="shared" si="66"/>
        <v>305905</v>
      </c>
      <c r="AE1257" s="43"/>
      <c r="AL1257" s="87" t="s">
        <v>819</v>
      </c>
      <c r="AM1257" s="86">
        <v>488709</v>
      </c>
    </row>
    <row r="1258" spans="13:39" hidden="1">
      <c r="M1258" s="131">
        <v>311118</v>
      </c>
      <c r="N1258" s="222">
        <v>388229</v>
      </c>
      <c r="O1258" s="132" t="s">
        <v>244</v>
      </c>
      <c r="P1258" s="132" t="s">
        <v>245</v>
      </c>
      <c r="Q1258" s="133">
        <v>13</v>
      </c>
      <c r="R1258" s="132" t="s">
        <v>289</v>
      </c>
      <c r="S1258" s="132" t="s">
        <v>11</v>
      </c>
      <c r="T1258" s="134">
        <v>41652</v>
      </c>
      <c r="U1258" s="172">
        <f t="shared" si="67"/>
        <v>2014</v>
      </c>
      <c r="V1258" s="172">
        <f t="shared" si="68"/>
        <v>1</v>
      </c>
      <c r="W1258" s="44" t="s">
        <v>316</v>
      </c>
      <c r="X1258" t="s">
        <v>894</v>
      </c>
      <c r="Y1258">
        <v>1</v>
      </c>
      <c r="AA1258" s="13">
        <f t="shared" si="66"/>
        <v>311118</v>
      </c>
      <c r="AE1258" s="43"/>
      <c r="AL1258" s="87" t="s">
        <v>819</v>
      </c>
      <c r="AM1258" s="86">
        <v>488873</v>
      </c>
    </row>
    <row r="1259" spans="13:39" hidden="1">
      <c r="M1259" s="131">
        <v>318330</v>
      </c>
      <c r="N1259" s="223">
        <v>477978</v>
      </c>
      <c r="O1259" s="132" t="s">
        <v>244</v>
      </c>
      <c r="P1259" s="132" t="s">
        <v>245</v>
      </c>
      <c r="Q1259" s="133">
        <v>136</v>
      </c>
      <c r="R1259" s="132" t="s">
        <v>289</v>
      </c>
      <c r="S1259" s="132" t="s">
        <v>11</v>
      </c>
      <c r="T1259" s="134">
        <v>41652</v>
      </c>
      <c r="U1259" s="172">
        <f t="shared" si="67"/>
        <v>2014</v>
      </c>
      <c r="V1259" s="172">
        <f t="shared" si="68"/>
        <v>1</v>
      </c>
      <c r="W1259" s="44" t="s">
        <v>316</v>
      </c>
      <c r="X1259" t="s">
        <v>894</v>
      </c>
      <c r="Y1259">
        <v>1</v>
      </c>
      <c r="AA1259" s="13">
        <f t="shared" si="66"/>
        <v>318330</v>
      </c>
      <c r="AE1259" s="43"/>
      <c r="AL1259" s="87" t="s">
        <v>819</v>
      </c>
      <c r="AM1259" s="86">
        <v>488873</v>
      </c>
    </row>
    <row r="1260" spans="13:39" hidden="1">
      <c r="M1260" s="131">
        <v>320000</v>
      </c>
      <c r="N1260" s="222">
        <v>420377</v>
      </c>
      <c r="O1260" s="132" t="s">
        <v>244</v>
      </c>
      <c r="P1260" s="132" t="s">
        <v>245</v>
      </c>
      <c r="Q1260" s="133">
        <v>111</v>
      </c>
      <c r="R1260" s="132" t="s">
        <v>289</v>
      </c>
      <c r="S1260" s="132" t="s">
        <v>11</v>
      </c>
      <c r="T1260" s="134">
        <v>41652</v>
      </c>
      <c r="U1260" s="172">
        <f t="shared" si="67"/>
        <v>2014</v>
      </c>
      <c r="V1260" s="172">
        <f t="shared" si="68"/>
        <v>1</v>
      </c>
      <c r="W1260" s="44" t="s">
        <v>316</v>
      </c>
      <c r="X1260" t="s">
        <v>894</v>
      </c>
      <c r="Y1260">
        <v>1</v>
      </c>
      <c r="AA1260" s="13">
        <f t="shared" si="66"/>
        <v>320000</v>
      </c>
      <c r="AE1260" s="43"/>
      <c r="AL1260" s="87" t="s">
        <v>819</v>
      </c>
      <c r="AM1260" s="86">
        <v>488873</v>
      </c>
    </row>
    <row r="1261" spans="13:39" hidden="1">
      <c r="M1261" s="131">
        <v>320500</v>
      </c>
      <c r="N1261" s="223">
        <v>435326</v>
      </c>
      <c r="O1261" s="132" t="s">
        <v>244</v>
      </c>
      <c r="P1261" s="132" t="s">
        <v>245</v>
      </c>
      <c r="Q1261" s="133">
        <v>131</v>
      </c>
      <c r="R1261" s="132" t="s">
        <v>289</v>
      </c>
      <c r="S1261" s="132" t="s">
        <v>11</v>
      </c>
      <c r="T1261" s="134">
        <v>41652</v>
      </c>
      <c r="U1261" s="172">
        <f t="shared" si="67"/>
        <v>2014</v>
      </c>
      <c r="V1261" s="172">
        <f t="shared" si="68"/>
        <v>1</v>
      </c>
      <c r="W1261" s="44" t="s">
        <v>316</v>
      </c>
      <c r="X1261" t="s">
        <v>894</v>
      </c>
      <c r="Y1261">
        <v>1</v>
      </c>
      <c r="AA1261" s="13">
        <f t="shared" si="66"/>
        <v>320500</v>
      </c>
      <c r="AE1261" s="43"/>
      <c r="AL1261" s="87" t="s">
        <v>819</v>
      </c>
      <c r="AM1261" s="86">
        <v>488873</v>
      </c>
    </row>
    <row r="1262" spans="13:39" hidden="1">
      <c r="M1262" s="131">
        <v>323460</v>
      </c>
      <c r="N1262" s="222">
        <v>402788</v>
      </c>
      <c r="O1262" s="132" t="s">
        <v>244</v>
      </c>
      <c r="P1262" s="132" t="s">
        <v>245</v>
      </c>
      <c r="Q1262" s="133">
        <v>103</v>
      </c>
      <c r="R1262" s="132" t="s">
        <v>289</v>
      </c>
      <c r="S1262" s="132" t="s">
        <v>11</v>
      </c>
      <c r="T1262" s="134">
        <v>41652</v>
      </c>
      <c r="U1262" s="172">
        <f t="shared" si="67"/>
        <v>2014</v>
      </c>
      <c r="V1262" s="172">
        <f t="shared" si="68"/>
        <v>1</v>
      </c>
      <c r="W1262" s="44" t="s">
        <v>316</v>
      </c>
      <c r="X1262" t="s">
        <v>894</v>
      </c>
      <c r="Y1262">
        <v>1</v>
      </c>
      <c r="AA1262" s="13">
        <f t="shared" si="66"/>
        <v>323460</v>
      </c>
      <c r="AE1262" s="43"/>
      <c r="AL1262" s="87" t="s">
        <v>819</v>
      </c>
      <c r="AM1262" s="86">
        <v>488873</v>
      </c>
    </row>
    <row r="1263" spans="13:39" hidden="1">
      <c r="M1263" s="131">
        <v>331999</v>
      </c>
      <c r="N1263" s="223">
        <v>452475</v>
      </c>
      <c r="O1263" s="132" t="s">
        <v>244</v>
      </c>
      <c r="P1263" s="132" t="s">
        <v>245</v>
      </c>
      <c r="Q1263" s="133">
        <v>128</v>
      </c>
      <c r="R1263" s="132" t="s">
        <v>289</v>
      </c>
      <c r="S1263" s="132" t="s">
        <v>11</v>
      </c>
      <c r="T1263" s="134">
        <v>41652</v>
      </c>
      <c r="U1263" s="172">
        <f t="shared" si="67"/>
        <v>2014</v>
      </c>
      <c r="V1263" s="172">
        <f t="shared" si="68"/>
        <v>1</v>
      </c>
      <c r="W1263" s="44" t="s">
        <v>316</v>
      </c>
      <c r="X1263" t="s">
        <v>894</v>
      </c>
      <c r="Y1263">
        <v>1</v>
      </c>
      <c r="AA1263" s="13">
        <f t="shared" si="66"/>
        <v>331999</v>
      </c>
      <c r="AE1263" s="43"/>
      <c r="AL1263" s="87" t="s">
        <v>819</v>
      </c>
      <c r="AM1263" s="86">
        <v>488873</v>
      </c>
    </row>
    <row r="1264" spans="13:39" hidden="1">
      <c r="M1264" s="131">
        <v>333000</v>
      </c>
      <c r="N1264" s="223">
        <v>515699</v>
      </c>
      <c r="O1264" s="132" t="s">
        <v>294</v>
      </c>
      <c r="P1264" s="132" t="s">
        <v>245</v>
      </c>
      <c r="Q1264" s="133">
        <v>202</v>
      </c>
      <c r="R1264" s="132" t="s">
        <v>286</v>
      </c>
      <c r="S1264" s="132" t="s">
        <v>11</v>
      </c>
      <c r="T1264" s="134">
        <v>41819</v>
      </c>
      <c r="U1264" s="172">
        <f t="shared" si="67"/>
        <v>2014</v>
      </c>
      <c r="V1264" s="172">
        <f t="shared" si="68"/>
        <v>6</v>
      </c>
      <c r="W1264" s="44" t="s">
        <v>312</v>
      </c>
      <c r="X1264" t="s">
        <v>894</v>
      </c>
      <c r="Z1264">
        <v>2109</v>
      </c>
      <c r="AA1264" s="13">
        <f t="shared" si="66"/>
        <v>333000</v>
      </c>
      <c r="AE1264" s="43"/>
      <c r="AL1264" s="87" t="s">
        <v>819</v>
      </c>
      <c r="AM1264" s="86">
        <v>488873</v>
      </c>
    </row>
    <row r="1265" spans="13:39" hidden="1">
      <c r="M1265" s="131">
        <v>336620</v>
      </c>
      <c r="N1265" s="222">
        <v>402788</v>
      </c>
      <c r="O1265" s="132" t="s">
        <v>244</v>
      </c>
      <c r="P1265" s="132" t="s">
        <v>245</v>
      </c>
      <c r="Q1265" s="133">
        <v>106</v>
      </c>
      <c r="R1265" s="132" t="s">
        <v>289</v>
      </c>
      <c r="S1265" s="132" t="s">
        <v>11</v>
      </c>
      <c r="T1265" s="134">
        <v>41652</v>
      </c>
      <c r="U1265" s="172">
        <f t="shared" si="67"/>
        <v>2014</v>
      </c>
      <c r="V1265" s="172">
        <f t="shared" si="68"/>
        <v>1</v>
      </c>
      <c r="W1265" s="44" t="s">
        <v>316</v>
      </c>
      <c r="X1265" t="s">
        <v>894</v>
      </c>
      <c r="Y1265">
        <v>1</v>
      </c>
      <c r="AA1265" s="13">
        <f t="shared" si="66"/>
        <v>336620</v>
      </c>
      <c r="AE1265" s="43"/>
      <c r="AL1265" s="87" t="s">
        <v>819</v>
      </c>
      <c r="AM1265" s="86">
        <v>488873</v>
      </c>
    </row>
    <row r="1266" spans="13:39" hidden="1">
      <c r="M1266" s="131">
        <v>336937</v>
      </c>
      <c r="N1266" s="222">
        <v>418618</v>
      </c>
      <c r="O1266" s="132" t="s">
        <v>244</v>
      </c>
      <c r="P1266" s="132" t="s">
        <v>245</v>
      </c>
      <c r="Q1266" s="133">
        <v>116</v>
      </c>
      <c r="R1266" s="132" t="s">
        <v>289</v>
      </c>
      <c r="S1266" s="132" t="s">
        <v>11</v>
      </c>
      <c r="T1266" s="134">
        <v>41652</v>
      </c>
      <c r="U1266" s="172">
        <f t="shared" si="67"/>
        <v>2014</v>
      </c>
      <c r="V1266" s="172">
        <f t="shared" si="68"/>
        <v>1</v>
      </c>
      <c r="W1266" s="44" t="s">
        <v>316</v>
      </c>
      <c r="X1266" t="s">
        <v>894</v>
      </c>
      <c r="Y1266">
        <v>1</v>
      </c>
      <c r="AA1266" s="13">
        <f t="shared" si="66"/>
        <v>336937</v>
      </c>
      <c r="AE1266" s="43"/>
      <c r="AL1266" s="87" t="s">
        <v>819</v>
      </c>
      <c r="AM1266" s="86">
        <v>488873</v>
      </c>
    </row>
    <row r="1267" spans="13:39" hidden="1">
      <c r="M1267" s="131">
        <v>340605</v>
      </c>
      <c r="N1267" s="223">
        <v>451595</v>
      </c>
      <c r="O1267" s="132" t="s">
        <v>244</v>
      </c>
      <c r="P1267" s="132" t="s">
        <v>245</v>
      </c>
      <c r="Q1267" s="133">
        <v>133</v>
      </c>
      <c r="R1267" s="132" t="s">
        <v>289</v>
      </c>
      <c r="S1267" s="132" t="s">
        <v>11</v>
      </c>
      <c r="T1267" s="134">
        <v>41652</v>
      </c>
      <c r="U1267" s="172">
        <f t="shared" si="67"/>
        <v>2014</v>
      </c>
      <c r="V1267" s="172">
        <f t="shared" si="68"/>
        <v>1</v>
      </c>
      <c r="W1267" s="44" t="s">
        <v>316</v>
      </c>
      <c r="X1267" t="s">
        <v>894</v>
      </c>
      <c r="Y1267">
        <v>1</v>
      </c>
      <c r="AA1267" s="13">
        <f t="shared" si="66"/>
        <v>340605</v>
      </c>
      <c r="AE1267" s="43"/>
      <c r="AL1267" s="87" t="s">
        <v>819</v>
      </c>
      <c r="AM1267" s="86">
        <v>488873</v>
      </c>
    </row>
    <row r="1268" spans="13:39" hidden="1">
      <c r="M1268" s="131">
        <v>341633</v>
      </c>
      <c r="N1268" s="223">
        <v>456872</v>
      </c>
      <c r="O1268" s="132" t="s">
        <v>244</v>
      </c>
      <c r="P1268" s="132" t="s">
        <v>245</v>
      </c>
      <c r="Q1268" s="133">
        <v>138</v>
      </c>
      <c r="R1268" s="132" t="s">
        <v>289</v>
      </c>
      <c r="S1268" s="132" t="s">
        <v>11</v>
      </c>
      <c r="T1268" s="134">
        <v>41652</v>
      </c>
      <c r="U1268" s="172">
        <f t="shared" si="67"/>
        <v>2014</v>
      </c>
      <c r="V1268" s="172">
        <f t="shared" si="68"/>
        <v>1</v>
      </c>
      <c r="W1268" s="44" t="s">
        <v>316</v>
      </c>
      <c r="X1268" t="s">
        <v>894</v>
      </c>
      <c r="Y1268">
        <v>1</v>
      </c>
      <c r="AA1268" s="13">
        <f t="shared" si="66"/>
        <v>341633</v>
      </c>
      <c r="AE1268" s="43"/>
      <c r="AL1268" s="87" t="s">
        <v>819</v>
      </c>
      <c r="AM1268" s="86">
        <v>488873</v>
      </c>
    </row>
    <row r="1269" spans="13:39" hidden="1">
      <c r="M1269" s="131">
        <v>351555</v>
      </c>
      <c r="N1269" s="223">
        <v>435766</v>
      </c>
      <c r="O1269" s="132" t="s">
        <v>244</v>
      </c>
      <c r="P1269" s="132" t="s">
        <v>245</v>
      </c>
      <c r="Q1269" s="133">
        <v>140</v>
      </c>
      <c r="R1269" s="132" t="s">
        <v>289</v>
      </c>
      <c r="S1269" s="132" t="s">
        <v>11</v>
      </c>
      <c r="T1269" s="134">
        <v>41652</v>
      </c>
      <c r="U1269" s="172">
        <f t="shared" si="67"/>
        <v>2014</v>
      </c>
      <c r="V1269" s="172">
        <f t="shared" si="68"/>
        <v>1</v>
      </c>
      <c r="W1269" s="44" t="s">
        <v>316</v>
      </c>
      <c r="X1269" t="s">
        <v>894</v>
      </c>
      <c r="Y1269">
        <v>1</v>
      </c>
      <c r="AA1269" s="13">
        <f t="shared" si="66"/>
        <v>351555</v>
      </c>
      <c r="AE1269" s="43"/>
      <c r="AL1269" s="87" t="s">
        <v>819</v>
      </c>
      <c r="AM1269" s="86">
        <v>488873</v>
      </c>
    </row>
    <row r="1270" spans="13:39" hidden="1">
      <c r="M1270" s="131">
        <v>369002</v>
      </c>
      <c r="N1270" s="223">
        <v>530998</v>
      </c>
      <c r="O1270" s="132" t="s">
        <v>244</v>
      </c>
      <c r="P1270" s="132" t="s">
        <v>245</v>
      </c>
      <c r="Q1270" s="133">
        <v>217</v>
      </c>
      <c r="R1270" s="132" t="s">
        <v>279</v>
      </c>
      <c r="S1270" s="132" t="s">
        <v>11</v>
      </c>
      <c r="T1270" s="134">
        <v>42246</v>
      </c>
      <c r="U1270" s="172">
        <f t="shared" si="67"/>
        <v>2015</v>
      </c>
      <c r="V1270" s="172">
        <f t="shared" si="68"/>
        <v>8</v>
      </c>
      <c r="W1270" s="44" t="s">
        <v>291</v>
      </c>
      <c r="X1270" t="s">
        <v>892</v>
      </c>
      <c r="Y1270">
        <v>1</v>
      </c>
      <c r="AA1270" s="13">
        <f t="shared" si="66"/>
        <v>369002</v>
      </c>
      <c r="AE1270" s="43"/>
      <c r="AL1270" s="87" t="s">
        <v>819</v>
      </c>
      <c r="AM1270" s="86">
        <v>489368</v>
      </c>
    </row>
    <row r="1271" spans="13:39" hidden="1">
      <c r="M1271" s="131">
        <v>380000</v>
      </c>
      <c r="N1271" s="223">
        <v>498654</v>
      </c>
      <c r="O1271" s="132" t="s">
        <v>244</v>
      </c>
      <c r="P1271" s="132" t="s">
        <v>245</v>
      </c>
      <c r="Q1271" s="133">
        <v>43</v>
      </c>
      <c r="R1271" s="132" t="s">
        <v>281</v>
      </c>
      <c r="S1271" s="132" t="s">
        <v>11</v>
      </c>
      <c r="T1271" s="134">
        <v>41959</v>
      </c>
      <c r="U1271" s="172">
        <f t="shared" si="67"/>
        <v>2014</v>
      </c>
      <c r="V1271" s="172">
        <f t="shared" si="68"/>
        <v>11</v>
      </c>
      <c r="W1271" s="44" t="s">
        <v>301</v>
      </c>
      <c r="X1271" t="s">
        <v>894</v>
      </c>
      <c r="Y1271">
        <v>1</v>
      </c>
      <c r="AA1271" s="13">
        <f t="shared" si="66"/>
        <v>380000</v>
      </c>
      <c r="AE1271" s="43"/>
      <c r="AL1271" s="87" t="s">
        <v>819</v>
      </c>
      <c r="AM1271" s="86">
        <v>489368</v>
      </c>
    </row>
    <row r="1272" spans="13:39" hidden="1">
      <c r="M1272" s="131">
        <v>385281</v>
      </c>
      <c r="N1272" s="223">
        <v>496445</v>
      </c>
      <c r="O1272" s="132" t="s">
        <v>244</v>
      </c>
      <c r="P1272" s="132" t="s">
        <v>245</v>
      </c>
      <c r="Q1272" s="133">
        <v>135</v>
      </c>
      <c r="R1272" s="132" t="s">
        <v>289</v>
      </c>
      <c r="S1272" s="132" t="s">
        <v>11</v>
      </c>
      <c r="T1272" s="134">
        <v>41652</v>
      </c>
      <c r="U1272" s="172">
        <f t="shared" si="67"/>
        <v>2014</v>
      </c>
      <c r="V1272" s="172">
        <f t="shared" si="68"/>
        <v>1</v>
      </c>
      <c r="W1272" s="44" t="s">
        <v>316</v>
      </c>
      <c r="X1272" t="s">
        <v>894</v>
      </c>
      <c r="Y1272">
        <v>1</v>
      </c>
      <c r="AA1272" s="13">
        <f t="shared" si="66"/>
        <v>385281</v>
      </c>
      <c r="AE1272" s="43"/>
      <c r="AL1272" s="87" t="s">
        <v>819</v>
      </c>
      <c r="AM1272" s="86">
        <v>489368</v>
      </c>
    </row>
    <row r="1273" spans="13:39" hidden="1">
      <c r="M1273" s="131">
        <v>387000</v>
      </c>
      <c r="N1273" s="223">
        <v>431809</v>
      </c>
      <c r="O1273" s="132" t="s">
        <v>244</v>
      </c>
      <c r="P1273" s="132" t="s">
        <v>245</v>
      </c>
      <c r="Q1273" s="133">
        <v>114</v>
      </c>
      <c r="R1273" s="132" t="s">
        <v>289</v>
      </c>
      <c r="S1273" s="132" t="s">
        <v>11</v>
      </c>
      <c r="T1273" s="134">
        <v>41652</v>
      </c>
      <c r="U1273" s="172">
        <f t="shared" si="67"/>
        <v>2014</v>
      </c>
      <c r="V1273" s="172">
        <f t="shared" si="68"/>
        <v>1</v>
      </c>
      <c r="W1273" s="44" t="s">
        <v>316</v>
      </c>
      <c r="X1273" t="s">
        <v>894</v>
      </c>
      <c r="Y1273">
        <v>1</v>
      </c>
      <c r="AA1273" s="13">
        <f t="shared" si="66"/>
        <v>387000</v>
      </c>
      <c r="AE1273" s="43"/>
      <c r="AL1273" s="87" t="s">
        <v>819</v>
      </c>
      <c r="AM1273" s="86">
        <v>489368</v>
      </c>
    </row>
    <row r="1274" spans="13:39" hidden="1">
      <c r="M1274" s="131">
        <v>404863</v>
      </c>
      <c r="N1274" s="223">
        <v>472261</v>
      </c>
      <c r="O1274" s="132" t="s">
        <v>244</v>
      </c>
      <c r="P1274" s="132" t="s">
        <v>245</v>
      </c>
      <c r="Q1274" s="133">
        <v>134</v>
      </c>
      <c r="R1274" s="132" t="s">
        <v>289</v>
      </c>
      <c r="S1274" s="132" t="s">
        <v>11</v>
      </c>
      <c r="T1274" s="134">
        <v>41652</v>
      </c>
      <c r="U1274" s="172">
        <f t="shared" si="67"/>
        <v>2014</v>
      </c>
      <c r="V1274" s="172">
        <f t="shared" si="68"/>
        <v>1</v>
      </c>
      <c r="W1274" s="44" t="s">
        <v>316</v>
      </c>
      <c r="X1274" t="s">
        <v>894</v>
      </c>
      <c r="Y1274">
        <v>1</v>
      </c>
      <c r="AA1274" s="13">
        <f t="shared" si="66"/>
        <v>404863</v>
      </c>
      <c r="AE1274" s="43"/>
      <c r="AL1274" s="87" t="s">
        <v>819</v>
      </c>
      <c r="AM1274" s="86">
        <v>489368</v>
      </c>
    </row>
    <row r="1275" spans="13:39" hidden="1">
      <c r="M1275" s="131">
        <v>408962</v>
      </c>
      <c r="N1275" s="223">
        <v>467425</v>
      </c>
      <c r="O1275" s="132" t="s">
        <v>244</v>
      </c>
      <c r="P1275" s="132" t="s">
        <v>245</v>
      </c>
      <c r="Q1275" s="133">
        <v>137</v>
      </c>
      <c r="R1275" s="132" t="s">
        <v>289</v>
      </c>
      <c r="S1275" s="132" t="s">
        <v>11</v>
      </c>
      <c r="T1275" s="134">
        <v>41652</v>
      </c>
      <c r="U1275" s="172">
        <f t="shared" si="67"/>
        <v>2014</v>
      </c>
      <c r="V1275" s="172">
        <f t="shared" si="68"/>
        <v>1</v>
      </c>
      <c r="W1275" s="44" t="s">
        <v>316</v>
      </c>
      <c r="X1275" t="s">
        <v>894</v>
      </c>
      <c r="Y1275">
        <v>1</v>
      </c>
      <c r="AA1275" s="13">
        <f t="shared" si="66"/>
        <v>408962</v>
      </c>
      <c r="AE1275" s="43"/>
      <c r="AL1275" s="87" t="s">
        <v>819</v>
      </c>
      <c r="AM1275" s="86">
        <v>489368</v>
      </c>
    </row>
    <row r="1276" spans="13:39" hidden="1">
      <c r="M1276" s="131">
        <v>414110</v>
      </c>
      <c r="N1276" s="223">
        <v>433568</v>
      </c>
      <c r="O1276" s="132" t="s">
        <v>244</v>
      </c>
      <c r="P1276" s="132" t="s">
        <v>245</v>
      </c>
      <c r="Q1276" s="133">
        <v>152</v>
      </c>
      <c r="R1276" s="132" t="s">
        <v>289</v>
      </c>
      <c r="S1276" s="132" t="s">
        <v>11</v>
      </c>
      <c r="T1276" s="134">
        <v>41652</v>
      </c>
      <c r="U1276" s="172">
        <f t="shared" si="67"/>
        <v>2014</v>
      </c>
      <c r="V1276" s="172">
        <f t="shared" si="68"/>
        <v>1</v>
      </c>
      <c r="W1276" s="44" t="s">
        <v>316</v>
      </c>
      <c r="X1276" t="s">
        <v>894</v>
      </c>
      <c r="Y1276">
        <v>1</v>
      </c>
      <c r="AA1276" s="13">
        <f t="shared" si="66"/>
        <v>414110</v>
      </c>
      <c r="AE1276" s="43"/>
      <c r="AL1276" s="87" t="s">
        <v>819</v>
      </c>
      <c r="AM1276" s="86">
        <v>489368</v>
      </c>
    </row>
    <row r="1277" spans="13:39" hidden="1">
      <c r="M1277" s="131">
        <v>415712</v>
      </c>
      <c r="N1277" s="223">
        <v>459460</v>
      </c>
      <c r="O1277" s="132" t="s">
        <v>244</v>
      </c>
      <c r="P1277" s="132" t="s">
        <v>245</v>
      </c>
      <c r="Q1277" s="133">
        <v>9</v>
      </c>
      <c r="R1277" s="132" t="s">
        <v>289</v>
      </c>
      <c r="S1277" s="132" t="s">
        <v>11</v>
      </c>
      <c r="T1277" s="134">
        <v>41652</v>
      </c>
      <c r="U1277" s="172">
        <f t="shared" si="67"/>
        <v>2014</v>
      </c>
      <c r="V1277" s="172">
        <f t="shared" si="68"/>
        <v>1</v>
      </c>
      <c r="W1277" s="44" t="s">
        <v>316</v>
      </c>
      <c r="X1277" t="s">
        <v>894</v>
      </c>
      <c r="Y1277">
        <v>1</v>
      </c>
      <c r="AA1277" s="13">
        <f t="shared" si="66"/>
        <v>415712</v>
      </c>
      <c r="AE1277" s="43"/>
      <c r="AL1277" s="87" t="s">
        <v>819</v>
      </c>
      <c r="AM1277" s="86">
        <v>489368</v>
      </c>
    </row>
    <row r="1278" spans="13:39" hidden="1">
      <c r="M1278" s="131">
        <v>416188</v>
      </c>
      <c r="N1278" s="222">
        <v>350812</v>
      </c>
      <c r="O1278" s="132" t="s">
        <v>244</v>
      </c>
      <c r="P1278" s="132" t="s">
        <v>245</v>
      </c>
      <c r="Q1278" s="133">
        <v>36</v>
      </c>
      <c r="R1278" s="132" t="s">
        <v>281</v>
      </c>
      <c r="S1278" s="132" t="s">
        <v>11</v>
      </c>
      <c r="T1278" s="134">
        <v>41959</v>
      </c>
      <c r="U1278" s="172">
        <f t="shared" si="67"/>
        <v>2014</v>
      </c>
      <c r="V1278" s="172">
        <f t="shared" si="68"/>
        <v>11</v>
      </c>
      <c r="W1278" s="44" t="s">
        <v>301</v>
      </c>
      <c r="X1278" t="s">
        <v>894</v>
      </c>
      <c r="Y1278">
        <v>1</v>
      </c>
      <c r="AA1278" s="13">
        <f t="shared" si="66"/>
        <v>416188</v>
      </c>
      <c r="AE1278" s="43"/>
      <c r="AL1278" s="87" t="s">
        <v>819</v>
      </c>
      <c r="AM1278" s="86">
        <v>489368</v>
      </c>
    </row>
    <row r="1279" spans="13:39" hidden="1">
      <c r="M1279" s="131">
        <v>423000</v>
      </c>
      <c r="N1279" s="222">
        <v>411805</v>
      </c>
      <c r="O1279" s="132" t="s">
        <v>244</v>
      </c>
      <c r="P1279" s="132" t="s">
        <v>245</v>
      </c>
      <c r="Q1279" s="133">
        <v>50</v>
      </c>
      <c r="R1279" s="132" t="s">
        <v>281</v>
      </c>
      <c r="S1279" s="132" t="s">
        <v>11</v>
      </c>
      <c r="T1279" s="134">
        <v>41959</v>
      </c>
      <c r="U1279" s="172">
        <f t="shared" si="67"/>
        <v>2014</v>
      </c>
      <c r="V1279" s="172">
        <f t="shared" si="68"/>
        <v>11</v>
      </c>
      <c r="W1279" s="44" t="s">
        <v>301</v>
      </c>
      <c r="X1279" t="s">
        <v>894</v>
      </c>
      <c r="Y1279">
        <v>1</v>
      </c>
      <c r="AA1279" s="13">
        <f t="shared" si="66"/>
        <v>423000</v>
      </c>
      <c r="AE1279" s="43"/>
      <c r="AL1279" s="87" t="s">
        <v>819</v>
      </c>
      <c r="AM1279" s="86">
        <v>489368</v>
      </c>
    </row>
    <row r="1280" spans="13:39" hidden="1">
      <c r="M1280" s="131">
        <v>427762</v>
      </c>
      <c r="N1280" s="222">
        <v>350812</v>
      </c>
      <c r="O1280" s="132" t="s">
        <v>244</v>
      </c>
      <c r="P1280" s="132" t="s">
        <v>245</v>
      </c>
      <c r="Q1280" s="133">
        <v>35</v>
      </c>
      <c r="R1280" s="132" t="s">
        <v>281</v>
      </c>
      <c r="S1280" s="132" t="s">
        <v>11</v>
      </c>
      <c r="T1280" s="134">
        <v>41959</v>
      </c>
      <c r="U1280" s="172">
        <f t="shared" si="67"/>
        <v>2014</v>
      </c>
      <c r="V1280" s="172">
        <f t="shared" si="68"/>
        <v>11</v>
      </c>
      <c r="W1280" s="44" t="s">
        <v>301</v>
      </c>
      <c r="X1280" t="s">
        <v>894</v>
      </c>
      <c r="Y1280">
        <v>1</v>
      </c>
      <c r="AA1280" s="13">
        <f t="shared" si="66"/>
        <v>427762</v>
      </c>
      <c r="AE1280" s="43"/>
      <c r="AL1280" s="87" t="s">
        <v>819</v>
      </c>
      <c r="AM1280" s="86">
        <v>489368</v>
      </c>
    </row>
    <row r="1281" spans="13:39" hidden="1">
      <c r="M1281" s="131">
        <v>447000</v>
      </c>
      <c r="N1281" s="222">
        <v>403228</v>
      </c>
      <c r="O1281" s="132" t="s">
        <v>244</v>
      </c>
      <c r="P1281" s="132" t="s">
        <v>245</v>
      </c>
      <c r="Q1281" s="133">
        <v>102</v>
      </c>
      <c r="R1281" s="132" t="s">
        <v>289</v>
      </c>
      <c r="S1281" s="132" t="s">
        <v>11</v>
      </c>
      <c r="T1281" s="134">
        <v>41652</v>
      </c>
      <c r="U1281" s="172">
        <f t="shared" si="67"/>
        <v>2014</v>
      </c>
      <c r="V1281" s="172">
        <f t="shared" si="68"/>
        <v>1</v>
      </c>
      <c r="W1281" s="44" t="s">
        <v>316</v>
      </c>
      <c r="X1281" t="s">
        <v>894</v>
      </c>
      <c r="Y1281">
        <v>1</v>
      </c>
      <c r="AA1281" s="13">
        <f t="shared" si="66"/>
        <v>447000</v>
      </c>
      <c r="AE1281" s="43"/>
      <c r="AL1281" s="87" t="s">
        <v>819</v>
      </c>
      <c r="AM1281" s="86">
        <v>489368</v>
      </c>
    </row>
    <row r="1282" spans="13:39" hidden="1">
      <c r="M1282" s="131">
        <v>455000</v>
      </c>
      <c r="N1282" s="222">
        <v>360093</v>
      </c>
      <c r="O1282" s="132" t="s">
        <v>244</v>
      </c>
      <c r="P1282" s="132" t="s">
        <v>245</v>
      </c>
      <c r="Q1282" s="133">
        <v>11</v>
      </c>
      <c r="R1282" s="132" t="s">
        <v>281</v>
      </c>
      <c r="S1282" s="132" t="s">
        <v>11</v>
      </c>
      <c r="T1282" s="134">
        <v>41959</v>
      </c>
      <c r="U1282" s="172">
        <f t="shared" si="67"/>
        <v>2014</v>
      </c>
      <c r="V1282" s="172">
        <f t="shared" si="68"/>
        <v>11</v>
      </c>
      <c r="W1282" s="44" t="s">
        <v>301</v>
      </c>
      <c r="X1282" t="s">
        <v>894</v>
      </c>
      <c r="Y1282">
        <v>1</v>
      </c>
      <c r="AA1282" s="13">
        <f t="shared" si="66"/>
        <v>455000</v>
      </c>
      <c r="AE1282" s="43"/>
      <c r="AL1282" s="87" t="s">
        <v>819</v>
      </c>
      <c r="AM1282" s="86">
        <v>489368</v>
      </c>
    </row>
    <row r="1283" spans="13:39" hidden="1">
      <c r="M1283" s="131">
        <v>460000</v>
      </c>
      <c r="N1283" s="222">
        <v>397883</v>
      </c>
      <c r="O1283" s="132" t="s">
        <v>244</v>
      </c>
      <c r="P1283" s="132" t="s">
        <v>245</v>
      </c>
      <c r="Q1283" s="133">
        <v>18</v>
      </c>
      <c r="R1283" s="132" t="s">
        <v>281</v>
      </c>
      <c r="S1283" s="132" t="s">
        <v>11</v>
      </c>
      <c r="T1283" s="134">
        <v>41959</v>
      </c>
      <c r="U1283" s="172">
        <f t="shared" si="67"/>
        <v>2014</v>
      </c>
      <c r="V1283" s="172">
        <f t="shared" si="68"/>
        <v>11</v>
      </c>
      <c r="W1283" s="44" t="s">
        <v>301</v>
      </c>
      <c r="X1283" t="s">
        <v>894</v>
      </c>
      <c r="Y1283">
        <v>1</v>
      </c>
      <c r="AA1283" s="13">
        <f t="shared" si="66"/>
        <v>460000</v>
      </c>
      <c r="AE1283" s="43"/>
      <c r="AL1283" s="87" t="s">
        <v>819</v>
      </c>
      <c r="AM1283" s="86">
        <v>489368</v>
      </c>
    </row>
    <row r="1284" spans="13:39" hidden="1">
      <c r="M1284" s="131">
        <v>462300</v>
      </c>
      <c r="N1284" s="222">
        <v>350812</v>
      </c>
      <c r="O1284" s="132" t="s">
        <v>244</v>
      </c>
      <c r="P1284" s="132" t="s">
        <v>245</v>
      </c>
      <c r="Q1284" s="133">
        <v>31</v>
      </c>
      <c r="R1284" s="132" t="s">
        <v>281</v>
      </c>
      <c r="S1284" s="132" t="s">
        <v>11</v>
      </c>
      <c r="T1284" s="134">
        <v>41959</v>
      </c>
      <c r="U1284" s="172">
        <f t="shared" si="67"/>
        <v>2014</v>
      </c>
      <c r="V1284" s="172">
        <f t="shared" si="68"/>
        <v>11</v>
      </c>
      <c r="W1284" s="44" t="s">
        <v>301</v>
      </c>
      <c r="X1284" t="s">
        <v>894</v>
      </c>
      <c r="Y1284">
        <v>1</v>
      </c>
      <c r="AA1284" s="13">
        <f t="shared" ref="AA1284:AA1347" si="69">IF(M1284&lt;30000,Y1284*100*M1284*(1-$L$1)-$L$2*Y1284,M1284)</f>
        <v>462300</v>
      </c>
      <c r="AE1284" s="43"/>
      <c r="AL1284" s="87" t="s">
        <v>819</v>
      </c>
      <c r="AM1284" s="86">
        <v>489368</v>
      </c>
    </row>
    <row r="1285" spans="13:39" hidden="1">
      <c r="M1285" s="131">
        <v>463524</v>
      </c>
      <c r="N1285" s="223">
        <v>503041</v>
      </c>
      <c r="O1285" s="132" t="s">
        <v>244</v>
      </c>
      <c r="P1285" s="132" t="s">
        <v>245</v>
      </c>
      <c r="Q1285" s="133">
        <v>158</v>
      </c>
      <c r="R1285" s="132" t="s">
        <v>289</v>
      </c>
      <c r="S1285" s="132" t="s">
        <v>11</v>
      </c>
      <c r="T1285" s="134">
        <v>41652</v>
      </c>
      <c r="U1285" s="172">
        <f t="shared" si="67"/>
        <v>2014</v>
      </c>
      <c r="V1285" s="172">
        <f t="shared" si="68"/>
        <v>1</v>
      </c>
      <c r="W1285" s="44" t="s">
        <v>316</v>
      </c>
      <c r="X1285" t="s">
        <v>894</v>
      </c>
      <c r="Y1285">
        <v>1</v>
      </c>
      <c r="AA1285" s="13">
        <f t="shared" si="69"/>
        <v>463524</v>
      </c>
      <c r="AE1285" s="43"/>
      <c r="AL1285" s="87" t="s">
        <v>819</v>
      </c>
      <c r="AM1285" s="86">
        <v>489368</v>
      </c>
    </row>
    <row r="1286" spans="13:39" hidden="1">
      <c r="M1286" s="131">
        <v>479550</v>
      </c>
      <c r="N1286" s="222">
        <v>354790</v>
      </c>
      <c r="O1286" s="132" t="s">
        <v>244</v>
      </c>
      <c r="P1286" s="132" t="s">
        <v>245</v>
      </c>
      <c r="Q1286" s="133">
        <v>40</v>
      </c>
      <c r="R1286" s="132" t="s">
        <v>281</v>
      </c>
      <c r="S1286" s="132" t="s">
        <v>11</v>
      </c>
      <c r="T1286" s="134">
        <v>41959</v>
      </c>
      <c r="U1286" s="172">
        <f t="shared" si="67"/>
        <v>2014</v>
      </c>
      <c r="V1286" s="172">
        <f t="shared" si="68"/>
        <v>11</v>
      </c>
      <c r="W1286" s="44" t="s">
        <v>301</v>
      </c>
      <c r="X1286" t="s">
        <v>894</v>
      </c>
      <c r="Y1286">
        <v>1</v>
      </c>
      <c r="AA1286" s="13">
        <f t="shared" si="69"/>
        <v>479550</v>
      </c>
      <c r="AE1286" s="43"/>
      <c r="AL1286" s="87" t="s">
        <v>819</v>
      </c>
      <c r="AM1286" s="86">
        <v>489386</v>
      </c>
    </row>
    <row r="1287" spans="13:39" hidden="1">
      <c r="M1287" s="131">
        <v>480000</v>
      </c>
      <c r="N1287" s="222">
        <v>368049</v>
      </c>
      <c r="O1287" s="132" t="s">
        <v>244</v>
      </c>
      <c r="P1287" s="132" t="s">
        <v>245</v>
      </c>
      <c r="Q1287" s="133">
        <v>2</v>
      </c>
      <c r="R1287" s="132" t="s">
        <v>281</v>
      </c>
      <c r="S1287" s="132" t="s">
        <v>11</v>
      </c>
      <c r="T1287" s="134">
        <v>41959</v>
      </c>
      <c r="U1287" s="172">
        <f t="shared" ref="U1287:U1350" si="70">YEAR($T1287)</f>
        <v>2014</v>
      </c>
      <c r="V1287" s="172">
        <f t="shared" ref="V1287:V1350" si="71">MONTH($T1287)</f>
        <v>11</v>
      </c>
      <c r="W1287" s="44" t="s">
        <v>301</v>
      </c>
      <c r="X1287" t="s">
        <v>894</v>
      </c>
      <c r="Y1287">
        <v>1</v>
      </c>
      <c r="AA1287" s="13">
        <f t="shared" si="69"/>
        <v>480000</v>
      </c>
      <c r="AE1287" s="43"/>
      <c r="AL1287" s="87" t="s">
        <v>819</v>
      </c>
      <c r="AM1287" s="86">
        <v>489864</v>
      </c>
    </row>
    <row r="1288" spans="13:39" hidden="1">
      <c r="M1288" s="131">
        <v>483483</v>
      </c>
      <c r="N1288" s="222">
        <v>350812</v>
      </c>
      <c r="O1288" s="132" t="s">
        <v>244</v>
      </c>
      <c r="P1288" s="132" t="s">
        <v>245</v>
      </c>
      <c r="Q1288" s="133">
        <v>32</v>
      </c>
      <c r="R1288" s="132" t="s">
        <v>281</v>
      </c>
      <c r="S1288" s="132" t="s">
        <v>11</v>
      </c>
      <c r="T1288" s="134">
        <v>41959</v>
      </c>
      <c r="U1288" s="172">
        <f t="shared" si="70"/>
        <v>2014</v>
      </c>
      <c r="V1288" s="172">
        <f t="shared" si="71"/>
        <v>11</v>
      </c>
      <c r="W1288" s="44" t="s">
        <v>301</v>
      </c>
      <c r="X1288" t="s">
        <v>894</v>
      </c>
      <c r="Y1288">
        <v>1</v>
      </c>
      <c r="AA1288" s="13">
        <f t="shared" si="69"/>
        <v>483483</v>
      </c>
      <c r="AE1288" s="43"/>
      <c r="AL1288" s="87" t="s">
        <v>819</v>
      </c>
      <c r="AM1288" s="86">
        <v>489864</v>
      </c>
    </row>
    <row r="1289" spans="13:39" hidden="1">
      <c r="M1289" s="131">
        <v>485052</v>
      </c>
      <c r="N1289" s="223">
        <v>488709</v>
      </c>
      <c r="O1289" s="132" t="s">
        <v>244</v>
      </c>
      <c r="P1289" s="132" t="s">
        <v>245</v>
      </c>
      <c r="Q1289" s="133">
        <v>24</v>
      </c>
      <c r="R1289" s="132" t="s">
        <v>281</v>
      </c>
      <c r="S1289" s="132" t="s">
        <v>11</v>
      </c>
      <c r="T1289" s="134">
        <v>41959</v>
      </c>
      <c r="U1289" s="172">
        <f t="shared" si="70"/>
        <v>2014</v>
      </c>
      <c r="V1289" s="172">
        <f t="shared" si="71"/>
        <v>11</v>
      </c>
      <c r="W1289" s="44" t="s">
        <v>301</v>
      </c>
      <c r="X1289" t="s">
        <v>894</v>
      </c>
      <c r="Y1289">
        <v>1</v>
      </c>
      <c r="AA1289" s="13">
        <f t="shared" si="69"/>
        <v>485052</v>
      </c>
      <c r="AE1289" s="43"/>
      <c r="AL1289" s="87" t="s">
        <v>819</v>
      </c>
      <c r="AM1289" s="86">
        <v>489864</v>
      </c>
    </row>
    <row r="1290" spans="13:39" hidden="1">
      <c r="M1290" s="131">
        <v>490000</v>
      </c>
      <c r="N1290" s="222">
        <v>350812</v>
      </c>
      <c r="O1290" s="132" t="s">
        <v>244</v>
      </c>
      <c r="P1290" s="132" t="s">
        <v>245</v>
      </c>
      <c r="Q1290" s="133">
        <v>39</v>
      </c>
      <c r="R1290" s="132" t="s">
        <v>281</v>
      </c>
      <c r="S1290" s="132" t="s">
        <v>11</v>
      </c>
      <c r="T1290" s="134">
        <v>41959</v>
      </c>
      <c r="U1290" s="172">
        <f t="shared" si="70"/>
        <v>2014</v>
      </c>
      <c r="V1290" s="172">
        <f t="shared" si="71"/>
        <v>11</v>
      </c>
      <c r="W1290" s="44" t="s">
        <v>301</v>
      </c>
      <c r="X1290" t="s">
        <v>894</v>
      </c>
      <c r="Y1290">
        <v>1</v>
      </c>
      <c r="AA1290" s="13">
        <f t="shared" si="69"/>
        <v>490000</v>
      </c>
      <c r="AE1290" s="43"/>
      <c r="AL1290" s="87" t="s">
        <v>819</v>
      </c>
      <c r="AM1290" s="86">
        <v>489864</v>
      </c>
    </row>
    <row r="1291" spans="13:39" hidden="1">
      <c r="M1291" s="131">
        <v>490050</v>
      </c>
      <c r="N1291" s="223">
        <v>458811</v>
      </c>
      <c r="O1291" s="132" t="s">
        <v>244</v>
      </c>
      <c r="P1291" s="132" t="s">
        <v>245</v>
      </c>
      <c r="Q1291" s="133">
        <v>1196</v>
      </c>
      <c r="R1291" s="132" t="s">
        <v>279</v>
      </c>
      <c r="S1291" s="132" t="s">
        <v>11</v>
      </c>
      <c r="T1291" s="134">
        <v>42548</v>
      </c>
      <c r="U1291" s="172">
        <f t="shared" si="70"/>
        <v>2016</v>
      </c>
      <c r="V1291" s="172">
        <f t="shared" si="71"/>
        <v>6</v>
      </c>
      <c r="W1291" s="44" t="s">
        <v>280</v>
      </c>
      <c r="X1291" t="s">
        <v>892</v>
      </c>
      <c r="Y1291">
        <v>1</v>
      </c>
      <c r="AA1291" s="13">
        <f t="shared" si="69"/>
        <v>490050</v>
      </c>
      <c r="AE1291" s="43"/>
      <c r="AL1291" s="87" t="s">
        <v>819</v>
      </c>
      <c r="AM1291" s="86">
        <v>489864</v>
      </c>
    </row>
    <row r="1292" spans="13:39" hidden="1">
      <c r="M1292" s="131">
        <v>492000</v>
      </c>
      <c r="N1292" s="222">
        <v>398546</v>
      </c>
      <c r="O1292" s="132" t="s">
        <v>244</v>
      </c>
      <c r="P1292" s="132" t="s">
        <v>245</v>
      </c>
      <c r="Q1292" s="133">
        <v>25</v>
      </c>
      <c r="R1292" s="132" t="s">
        <v>281</v>
      </c>
      <c r="S1292" s="132" t="s">
        <v>11</v>
      </c>
      <c r="T1292" s="134">
        <v>41959</v>
      </c>
      <c r="U1292" s="172">
        <f t="shared" si="70"/>
        <v>2014</v>
      </c>
      <c r="V1292" s="172">
        <f t="shared" si="71"/>
        <v>11</v>
      </c>
      <c r="W1292" s="44" t="s">
        <v>301</v>
      </c>
      <c r="X1292" t="s">
        <v>894</v>
      </c>
      <c r="Y1292">
        <v>1</v>
      </c>
      <c r="AA1292" s="13">
        <f t="shared" si="69"/>
        <v>492000</v>
      </c>
      <c r="AE1292" s="43"/>
      <c r="AL1292" s="87" t="s">
        <v>819</v>
      </c>
      <c r="AM1292" s="86">
        <v>489864</v>
      </c>
    </row>
    <row r="1293" spans="13:39" hidden="1">
      <c r="M1293" s="131">
        <v>493000</v>
      </c>
      <c r="N1293" s="223">
        <v>509924</v>
      </c>
      <c r="O1293" s="132" t="s">
        <v>244</v>
      </c>
      <c r="P1293" s="132" t="s">
        <v>245</v>
      </c>
      <c r="Q1293" s="133">
        <v>48</v>
      </c>
      <c r="R1293" s="132" t="s">
        <v>281</v>
      </c>
      <c r="S1293" s="132" t="s">
        <v>11</v>
      </c>
      <c r="T1293" s="134">
        <v>41959</v>
      </c>
      <c r="U1293" s="172">
        <f t="shared" si="70"/>
        <v>2014</v>
      </c>
      <c r="V1293" s="172">
        <f t="shared" si="71"/>
        <v>11</v>
      </c>
      <c r="W1293" s="44" t="s">
        <v>301</v>
      </c>
      <c r="X1293" t="s">
        <v>894</v>
      </c>
      <c r="Y1293">
        <v>1</v>
      </c>
      <c r="AA1293" s="13">
        <f t="shared" si="69"/>
        <v>493000</v>
      </c>
      <c r="AE1293" s="43"/>
      <c r="AL1293" s="87" t="s">
        <v>819</v>
      </c>
      <c r="AM1293" s="86">
        <v>489864</v>
      </c>
    </row>
    <row r="1294" spans="13:39" hidden="1">
      <c r="M1294" s="131">
        <v>495424</v>
      </c>
      <c r="N1294" s="223">
        <v>522056</v>
      </c>
      <c r="O1294" s="132" t="s">
        <v>294</v>
      </c>
      <c r="P1294" s="132" t="s">
        <v>245</v>
      </c>
      <c r="Q1294" s="133">
        <v>203</v>
      </c>
      <c r="R1294" s="132" t="s">
        <v>286</v>
      </c>
      <c r="S1294" s="132" t="s">
        <v>11</v>
      </c>
      <c r="T1294" s="134">
        <v>41819</v>
      </c>
      <c r="U1294" s="172">
        <f t="shared" si="70"/>
        <v>2014</v>
      </c>
      <c r="V1294" s="172">
        <f t="shared" si="71"/>
        <v>6</v>
      </c>
      <c r="W1294" s="44" t="s">
        <v>312</v>
      </c>
      <c r="X1294" t="s">
        <v>894</v>
      </c>
      <c r="Z1294">
        <v>2135</v>
      </c>
      <c r="AA1294" s="13">
        <f t="shared" si="69"/>
        <v>495424</v>
      </c>
      <c r="AE1294" s="43"/>
      <c r="AL1294" s="87" t="s">
        <v>819</v>
      </c>
      <c r="AM1294" s="86">
        <v>489864</v>
      </c>
    </row>
    <row r="1295" spans="13:39" hidden="1">
      <c r="M1295" s="131">
        <v>495753</v>
      </c>
      <c r="N1295" s="223">
        <v>315012</v>
      </c>
      <c r="O1295" s="132" t="s">
        <v>244</v>
      </c>
      <c r="P1295" s="132" t="s">
        <v>245</v>
      </c>
      <c r="Q1295" s="133">
        <v>15</v>
      </c>
      <c r="R1295" s="132" t="s">
        <v>281</v>
      </c>
      <c r="S1295" s="132" t="s">
        <v>11</v>
      </c>
      <c r="T1295" s="134">
        <v>41959</v>
      </c>
      <c r="U1295" s="172">
        <f t="shared" si="70"/>
        <v>2014</v>
      </c>
      <c r="V1295" s="172">
        <f t="shared" si="71"/>
        <v>11</v>
      </c>
      <c r="W1295" s="44" t="s">
        <v>301</v>
      </c>
      <c r="X1295" t="s">
        <v>894</v>
      </c>
      <c r="Y1295">
        <v>1</v>
      </c>
      <c r="AA1295" s="13">
        <f t="shared" si="69"/>
        <v>495753</v>
      </c>
      <c r="AE1295" s="43"/>
      <c r="AL1295" s="87" t="s">
        <v>819</v>
      </c>
      <c r="AM1295" s="86">
        <v>489864</v>
      </c>
    </row>
    <row r="1296" spans="13:39" hidden="1">
      <c r="M1296" s="131">
        <v>501000</v>
      </c>
      <c r="N1296" s="222">
        <v>401909</v>
      </c>
      <c r="O1296" s="132" t="s">
        <v>244</v>
      </c>
      <c r="P1296" s="132" t="s">
        <v>245</v>
      </c>
      <c r="Q1296" s="133">
        <v>124</v>
      </c>
      <c r="R1296" s="132" t="s">
        <v>289</v>
      </c>
      <c r="S1296" s="132" t="s">
        <v>11</v>
      </c>
      <c r="T1296" s="134">
        <v>41652</v>
      </c>
      <c r="U1296" s="172">
        <f t="shared" si="70"/>
        <v>2014</v>
      </c>
      <c r="V1296" s="172">
        <f t="shared" si="71"/>
        <v>1</v>
      </c>
      <c r="W1296" s="44" t="s">
        <v>316</v>
      </c>
      <c r="X1296" t="s">
        <v>894</v>
      </c>
      <c r="Y1296">
        <v>1</v>
      </c>
      <c r="AA1296" s="13">
        <f t="shared" si="69"/>
        <v>501000</v>
      </c>
      <c r="AE1296" s="43"/>
      <c r="AL1296" s="87" t="s">
        <v>819</v>
      </c>
      <c r="AM1296" s="86">
        <v>489864</v>
      </c>
    </row>
    <row r="1297" spans="13:39" hidden="1">
      <c r="M1297" s="131">
        <v>510713</v>
      </c>
      <c r="N1297" s="222">
        <v>399872</v>
      </c>
      <c r="O1297" s="132" t="s">
        <v>244</v>
      </c>
      <c r="P1297" s="132" t="s">
        <v>245</v>
      </c>
      <c r="Q1297" s="133">
        <v>27</v>
      </c>
      <c r="R1297" s="132" t="s">
        <v>281</v>
      </c>
      <c r="S1297" s="132" t="s">
        <v>11</v>
      </c>
      <c r="T1297" s="134">
        <v>41959</v>
      </c>
      <c r="U1297" s="172">
        <f t="shared" si="70"/>
        <v>2014</v>
      </c>
      <c r="V1297" s="172">
        <f t="shared" si="71"/>
        <v>11</v>
      </c>
      <c r="W1297" s="44" t="s">
        <v>301</v>
      </c>
      <c r="X1297" t="s">
        <v>894</v>
      </c>
      <c r="Y1297">
        <v>1</v>
      </c>
      <c r="AA1297" s="13">
        <f t="shared" si="69"/>
        <v>510713</v>
      </c>
      <c r="AE1297" s="43"/>
      <c r="AL1297" s="87" t="s">
        <v>819</v>
      </c>
      <c r="AM1297" s="86">
        <v>489864</v>
      </c>
    </row>
    <row r="1298" spans="13:39" hidden="1">
      <c r="M1298" s="131">
        <v>513000</v>
      </c>
      <c r="N1298" s="223">
        <v>447198</v>
      </c>
      <c r="O1298" s="132" t="s">
        <v>244</v>
      </c>
      <c r="P1298" s="132" t="s">
        <v>245</v>
      </c>
      <c r="Q1298" s="133">
        <v>108</v>
      </c>
      <c r="R1298" s="132" t="s">
        <v>289</v>
      </c>
      <c r="S1298" s="132" t="s">
        <v>11</v>
      </c>
      <c r="T1298" s="134">
        <v>41652</v>
      </c>
      <c r="U1298" s="172">
        <f t="shared" si="70"/>
        <v>2014</v>
      </c>
      <c r="V1298" s="172">
        <f t="shared" si="71"/>
        <v>1</v>
      </c>
      <c r="W1298" s="44" t="s">
        <v>316</v>
      </c>
      <c r="X1298" t="s">
        <v>894</v>
      </c>
      <c r="Y1298">
        <v>1</v>
      </c>
      <c r="AA1298" s="13">
        <f t="shared" si="69"/>
        <v>513000</v>
      </c>
      <c r="AE1298" s="43"/>
      <c r="AL1298" s="87" t="s">
        <v>819</v>
      </c>
      <c r="AM1298" s="86">
        <v>490359</v>
      </c>
    </row>
    <row r="1299" spans="13:39" hidden="1">
      <c r="M1299" s="131">
        <v>515750</v>
      </c>
      <c r="N1299" s="223">
        <v>468492</v>
      </c>
      <c r="O1299" s="132" t="s">
        <v>244</v>
      </c>
      <c r="P1299" s="132" t="s">
        <v>245</v>
      </c>
      <c r="Q1299" s="133">
        <v>1155</v>
      </c>
      <c r="R1299" s="132" t="s">
        <v>279</v>
      </c>
      <c r="S1299" s="132" t="s">
        <v>11</v>
      </c>
      <c r="T1299" s="134">
        <v>42548</v>
      </c>
      <c r="U1299" s="172">
        <f t="shared" si="70"/>
        <v>2016</v>
      </c>
      <c r="V1299" s="172">
        <f t="shared" si="71"/>
        <v>6</v>
      </c>
      <c r="W1299" s="44" t="s">
        <v>280</v>
      </c>
      <c r="X1299" t="s">
        <v>892</v>
      </c>
      <c r="Y1299">
        <v>1</v>
      </c>
      <c r="AA1299" s="13">
        <f t="shared" si="69"/>
        <v>515750</v>
      </c>
      <c r="AE1299" s="43"/>
      <c r="AL1299" s="87" t="s">
        <v>819</v>
      </c>
      <c r="AM1299" s="86">
        <v>490359</v>
      </c>
    </row>
    <row r="1300" spans="13:39" hidden="1">
      <c r="M1300" s="131">
        <v>516450</v>
      </c>
      <c r="N1300" s="222">
        <v>359430</v>
      </c>
      <c r="O1300" s="132" t="s">
        <v>244</v>
      </c>
      <c r="P1300" s="132" t="s">
        <v>245</v>
      </c>
      <c r="Q1300" s="133">
        <v>9</v>
      </c>
      <c r="R1300" s="132" t="s">
        <v>281</v>
      </c>
      <c r="S1300" s="132" t="s">
        <v>11</v>
      </c>
      <c r="T1300" s="134">
        <v>41959</v>
      </c>
      <c r="U1300" s="172">
        <f t="shared" si="70"/>
        <v>2014</v>
      </c>
      <c r="V1300" s="172">
        <f t="shared" si="71"/>
        <v>11</v>
      </c>
      <c r="W1300" s="44" t="s">
        <v>301</v>
      </c>
      <c r="X1300" t="s">
        <v>894</v>
      </c>
      <c r="Y1300">
        <v>1</v>
      </c>
      <c r="AA1300" s="13">
        <f t="shared" si="69"/>
        <v>516450</v>
      </c>
      <c r="AE1300" s="43"/>
      <c r="AL1300" s="87" t="s">
        <v>819</v>
      </c>
      <c r="AM1300" s="86">
        <v>490359</v>
      </c>
    </row>
    <row r="1301" spans="13:39" hidden="1">
      <c r="M1301" s="131">
        <v>522432</v>
      </c>
      <c r="N1301" s="223">
        <v>341530</v>
      </c>
      <c r="O1301" s="132" t="s">
        <v>244</v>
      </c>
      <c r="P1301" s="132" t="s">
        <v>245</v>
      </c>
      <c r="Q1301" s="133">
        <v>16</v>
      </c>
      <c r="R1301" s="132" t="s">
        <v>281</v>
      </c>
      <c r="S1301" s="132" t="s">
        <v>11</v>
      </c>
      <c r="T1301" s="134">
        <v>41959</v>
      </c>
      <c r="U1301" s="172">
        <f t="shared" si="70"/>
        <v>2014</v>
      </c>
      <c r="V1301" s="172">
        <f t="shared" si="71"/>
        <v>11</v>
      </c>
      <c r="W1301" s="44" t="s">
        <v>301</v>
      </c>
      <c r="X1301" t="s">
        <v>894</v>
      </c>
      <c r="Y1301">
        <v>1</v>
      </c>
      <c r="AA1301" s="13">
        <f t="shared" si="69"/>
        <v>522432</v>
      </c>
      <c r="AE1301" s="43"/>
      <c r="AL1301" s="87" t="s">
        <v>819</v>
      </c>
      <c r="AM1301" s="86">
        <v>490359</v>
      </c>
    </row>
    <row r="1302" spans="13:39" hidden="1">
      <c r="M1302" s="131">
        <v>524000</v>
      </c>
      <c r="N1302" s="222">
        <v>354127</v>
      </c>
      <c r="O1302" s="132" t="s">
        <v>244</v>
      </c>
      <c r="P1302" s="132" t="s">
        <v>245</v>
      </c>
      <c r="Q1302" s="133">
        <v>30</v>
      </c>
      <c r="R1302" s="132" t="s">
        <v>281</v>
      </c>
      <c r="S1302" s="132" t="s">
        <v>11</v>
      </c>
      <c r="T1302" s="134">
        <v>41959</v>
      </c>
      <c r="U1302" s="172">
        <f t="shared" si="70"/>
        <v>2014</v>
      </c>
      <c r="V1302" s="172">
        <f t="shared" si="71"/>
        <v>11</v>
      </c>
      <c r="W1302" s="44" t="s">
        <v>301</v>
      </c>
      <c r="X1302" t="s">
        <v>894</v>
      </c>
      <c r="Y1302">
        <v>1</v>
      </c>
      <c r="AA1302" s="13">
        <f t="shared" si="69"/>
        <v>524000</v>
      </c>
      <c r="AE1302" s="43"/>
      <c r="AL1302" s="87" t="s">
        <v>819</v>
      </c>
      <c r="AM1302" s="86">
        <v>490359</v>
      </c>
    </row>
    <row r="1303" spans="13:39" hidden="1">
      <c r="M1303" s="131">
        <v>525100</v>
      </c>
      <c r="N1303" s="222">
        <v>350812</v>
      </c>
      <c r="O1303" s="132" t="s">
        <v>244</v>
      </c>
      <c r="P1303" s="132" t="s">
        <v>245</v>
      </c>
      <c r="Q1303" s="133">
        <v>33</v>
      </c>
      <c r="R1303" s="132" t="s">
        <v>281</v>
      </c>
      <c r="S1303" s="132" t="s">
        <v>11</v>
      </c>
      <c r="T1303" s="134">
        <v>41959</v>
      </c>
      <c r="U1303" s="172">
        <f t="shared" si="70"/>
        <v>2014</v>
      </c>
      <c r="V1303" s="172">
        <f t="shared" si="71"/>
        <v>11</v>
      </c>
      <c r="W1303" s="44" t="s">
        <v>301</v>
      </c>
      <c r="X1303" t="s">
        <v>894</v>
      </c>
      <c r="Y1303">
        <v>1</v>
      </c>
      <c r="AA1303" s="13">
        <f t="shared" si="69"/>
        <v>525100</v>
      </c>
      <c r="AE1303" s="43"/>
      <c r="AL1303" s="87" t="s">
        <v>819</v>
      </c>
      <c r="AM1303" s="86">
        <v>490359</v>
      </c>
    </row>
    <row r="1304" spans="13:39" hidden="1">
      <c r="M1304" s="131">
        <v>525555</v>
      </c>
      <c r="N1304" s="222">
        <v>398546</v>
      </c>
      <c r="O1304" s="132" t="s">
        <v>244</v>
      </c>
      <c r="P1304" s="132" t="s">
        <v>245</v>
      </c>
      <c r="Q1304" s="133">
        <v>26</v>
      </c>
      <c r="R1304" s="132" t="s">
        <v>281</v>
      </c>
      <c r="S1304" s="132" t="s">
        <v>11</v>
      </c>
      <c r="T1304" s="134">
        <v>41959</v>
      </c>
      <c r="U1304" s="172">
        <f t="shared" si="70"/>
        <v>2014</v>
      </c>
      <c r="V1304" s="172">
        <f t="shared" si="71"/>
        <v>11</v>
      </c>
      <c r="W1304" s="44" t="s">
        <v>301</v>
      </c>
      <c r="X1304" t="s">
        <v>894</v>
      </c>
      <c r="Y1304">
        <v>1</v>
      </c>
      <c r="AA1304" s="13">
        <f t="shared" si="69"/>
        <v>525555</v>
      </c>
      <c r="AE1304" s="43"/>
      <c r="AL1304" s="87" t="s">
        <v>819</v>
      </c>
      <c r="AM1304" s="86">
        <v>490359</v>
      </c>
    </row>
    <row r="1305" spans="13:39" hidden="1">
      <c r="M1305" s="131">
        <v>527889</v>
      </c>
      <c r="N1305" s="223">
        <v>475897</v>
      </c>
      <c r="O1305" s="132" t="s">
        <v>244</v>
      </c>
      <c r="P1305" s="132" t="s">
        <v>245</v>
      </c>
      <c r="Q1305" s="133">
        <v>1532</v>
      </c>
      <c r="R1305" s="132" t="s">
        <v>279</v>
      </c>
      <c r="S1305" s="132" t="s">
        <v>11</v>
      </c>
      <c r="T1305" s="134">
        <v>42548</v>
      </c>
      <c r="U1305" s="172">
        <f t="shared" si="70"/>
        <v>2016</v>
      </c>
      <c r="V1305" s="172">
        <f t="shared" si="71"/>
        <v>6</v>
      </c>
      <c r="W1305" s="44" t="s">
        <v>280</v>
      </c>
      <c r="X1305" t="s">
        <v>892</v>
      </c>
      <c r="Y1305">
        <v>1</v>
      </c>
      <c r="AA1305" s="13">
        <f t="shared" si="69"/>
        <v>527889</v>
      </c>
      <c r="AE1305" s="43"/>
      <c r="AL1305" s="87" t="s">
        <v>819</v>
      </c>
      <c r="AM1305" s="86">
        <v>490359</v>
      </c>
    </row>
    <row r="1306" spans="13:39" hidden="1">
      <c r="M1306" s="131">
        <v>532000</v>
      </c>
      <c r="N1306" s="222">
        <v>350812</v>
      </c>
      <c r="O1306" s="132" t="s">
        <v>244</v>
      </c>
      <c r="P1306" s="132" t="s">
        <v>245</v>
      </c>
      <c r="Q1306" s="133">
        <v>38</v>
      </c>
      <c r="R1306" s="132" t="s">
        <v>281</v>
      </c>
      <c r="S1306" s="132" t="s">
        <v>11</v>
      </c>
      <c r="T1306" s="134">
        <v>41959</v>
      </c>
      <c r="U1306" s="172">
        <f t="shared" si="70"/>
        <v>2014</v>
      </c>
      <c r="V1306" s="172">
        <f t="shared" si="71"/>
        <v>11</v>
      </c>
      <c r="W1306" s="44" t="s">
        <v>301</v>
      </c>
      <c r="X1306" t="s">
        <v>894</v>
      </c>
      <c r="Y1306">
        <v>1</v>
      </c>
      <c r="AA1306" s="13">
        <f t="shared" si="69"/>
        <v>532000</v>
      </c>
      <c r="AE1306" s="43"/>
      <c r="AL1306" s="87" t="s">
        <v>819</v>
      </c>
      <c r="AM1306" s="86">
        <v>490359</v>
      </c>
    </row>
    <row r="1307" spans="13:39" hidden="1">
      <c r="M1307" s="131">
        <v>542800</v>
      </c>
      <c r="N1307" s="223">
        <v>520723</v>
      </c>
      <c r="O1307" s="132" t="s">
        <v>244</v>
      </c>
      <c r="P1307" s="132" t="s">
        <v>245</v>
      </c>
      <c r="Q1307" s="133">
        <v>1254</v>
      </c>
      <c r="R1307" s="132" t="s">
        <v>279</v>
      </c>
      <c r="S1307" s="132" t="s">
        <v>11</v>
      </c>
      <c r="T1307" s="134">
        <v>42548</v>
      </c>
      <c r="U1307" s="172">
        <f t="shared" si="70"/>
        <v>2016</v>
      </c>
      <c r="V1307" s="172">
        <f t="shared" si="71"/>
        <v>6</v>
      </c>
      <c r="W1307" s="44" t="s">
        <v>280</v>
      </c>
      <c r="X1307" t="s">
        <v>892</v>
      </c>
      <c r="Y1307">
        <v>1</v>
      </c>
      <c r="AA1307" s="13">
        <f t="shared" si="69"/>
        <v>542800</v>
      </c>
      <c r="AE1307" s="43"/>
      <c r="AL1307" s="87" t="s">
        <v>819</v>
      </c>
      <c r="AM1307" s="86">
        <v>490359</v>
      </c>
    </row>
    <row r="1308" spans="13:39" hidden="1">
      <c r="M1308" s="131">
        <v>557620</v>
      </c>
      <c r="N1308" s="223">
        <v>475897</v>
      </c>
      <c r="O1308" s="132" t="s">
        <v>244</v>
      </c>
      <c r="P1308" s="132" t="s">
        <v>245</v>
      </c>
      <c r="Q1308" s="133">
        <v>1533</v>
      </c>
      <c r="R1308" s="132" t="s">
        <v>279</v>
      </c>
      <c r="S1308" s="132" t="s">
        <v>11</v>
      </c>
      <c r="T1308" s="134">
        <v>42548</v>
      </c>
      <c r="U1308" s="172">
        <f t="shared" si="70"/>
        <v>2016</v>
      </c>
      <c r="V1308" s="172">
        <f t="shared" si="71"/>
        <v>6</v>
      </c>
      <c r="W1308" s="44" t="s">
        <v>280</v>
      </c>
      <c r="X1308" t="s">
        <v>892</v>
      </c>
      <c r="Y1308">
        <v>1</v>
      </c>
      <c r="AA1308" s="13">
        <f t="shared" si="69"/>
        <v>557620</v>
      </c>
      <c r="AE1308" s="43"/>
      <c r="AL1308" s="87" t="s">
        <v>819</v>
      </c>
      <c r="AM1308" s="86">
        <v>490359</v>
      </c>
    </row>
    <row r="1309" spans="13:39" hidden="1">
      <c r="M1309" s="131">
        <v>558634</v>
      </c>
      <c r="N1309" s="222">
        <v>350812</v>
      </c>
      <c r="O1309" s="132" t="s">
        <v>244</v>
      </c>
      <c r="P1309" s="132" t="s">
        <v>245</v>
      </c>
      <c r="Q1309" s="133">
        <v>37</v>
      </c>
      <c r="R1309" s="132" t="s">
        <v>281</v>
      </c>
      <c r="S1309" s="132" t="s">
        <v>11</v>
      </c>
      <c r="T1309" s="134">
        <v>41959</v>
      </c>
      <c r="U1309" s="172">
        <f t="shared" si="70"/>
        <v>2014</v>
      </c>
      <c r="V1309" s="172">
        <f t="shared" si="71"/>
        <v>11</v>
      </c>
      <c r="W1309" s="44" t="s">
        <v>301</v>
      </c>
      <c r="X1309" t="s">
        <v>894</v>
      </c>
      <c r="Y1309">
        <v>1</v>
      </c>
      <c r="AA1309" s="13">
        <f t="shared" si="69"/>
        <v>558634</v>
      </c>
      <c r="AE1309" s="43"/>
      <c r="AL1309" s="87" t="s">
        <v>819</v>
      </c>
      <c r="AM1309" s="86">
        <v>490359</v>
      </c>
    </row>
    <row r="1310" spans="13:39" hidden="1">
      <c r="M1310" s="131">
        <v>559990</v>
      </c>
      <c r="N1310" s="222">
        <v>350812</v>
      </c>
      <c r="O1310" s="132" t="s">
        <v>244</v>
      </c>
      <c r="P1310" s="132" t="s">
        <v>245</v>
      </c>
      <c r="Q1310" s="133">
        <v>34</v>
      </c>
      <c r="R1310" s="132" t="s">
        <v>281</v>
      </c>
      <c r="S1310" s="132" t="s">
        <v>11</v>
      </c>
      <c r="T1310" s="134">
        <v>41959</v>
      </c>
      <c r="U1310" s="172">
        <f t="shared" si="70"/>
        <v>2014</v>
      </c>
      <c r="V1310" s="172">
        <f t="shared" si="71"/>
        <v>11</v>
      </c>
      <c r="W1310" s="44" t="s">
        <v>301</v>
      </c>
      <c r="X1310" t="s">
        <v>894</v>
      </c>
      <c r="Y1310">
        <v>1</v>
      </c>
      <c r="AA1310" s="13">
        <f t="shared" si="69"/>
        <v>559990</v>
      </c>
      <c r="AE1310" s="43"/>
      <c r="AL1310" s="87" t="s">
        <v>819</v>
      </c>
      <c r="AM1310" s="86">
        <v>490359</v>
      </c>
    </row>
    <row r="1311" spans="13:39" hidden="1">
      <c r="M1311" s="131">
        <v>568608</v>
      </c>
      <c r="N1311" s="223">
        <v>452246</v>
      </c>
      <c r="O1311" s="132" t="s">
        <v>244</v>
      </c>
      <c r="P1311" s="132" t="s">
        <v>245</v>
      </c>
      <c r="Q1311" s="133">
        <v>3</v>
      </c>
      <c r="R1311" s="132" t="s">
        <v>281</v>
      </c>
      <c r="S1311" s="132" t="s">
        <v>11</v>
      </c>
      <c r="T1311" s="134">
        <v>41959</v>
      </c>
      <c r="U1311" s="172">
        <f t="shared" si="70"/>
        <v>2014</v>
      </c>
      <c r="V1311" s="172">
        <f t="shared" si="71"/>
        <v>11</v>
      </c>
      <c r="W1311" s="44" t="s">
        <v>301</v>
      </c>
      <c r="X1311" t="s">
        <v>894</v>
      </c>
      <c r="Y1311">
        <v>1</v>
      </c>
      <c r="AA1311" s="13">
        <f t="shared" si="69"/>
        <v>568608</v>
      </c>
      <c r="AE1311" s="43"/>
      <c r="AL1311" s="87" t="s">
        <v>819</v>
      </c>
      <c r="AM1311" s="86">
        <v>490359</v>
      </c>
    </row>
    <row r="1312" spans="13:39" hidden="1">
      <c r="M1312" s="131">
        <v>573371</v>
      </c>
      <c r="N1312" s="223">
        <v>525849</v>
      </c>
      <c r="O1312" s="132" t="s">
        <v>244</v>
      </c>
      <c r="P1312" s="132" t="s">
        <v>245</v>
      </c>
      <c r="Q1312" s="133">
        <v>1102</v>
      </c>
      <c r="R1312" s="132" t="s">
        <v>279</v>
      </c>
      <c r="S1312" s="132" t="s">
        <v>11</v>
      </c>
      <c r="T1312" s="134">
        <v>42548</v>
      </c>
      <c r="U1312" s="172">
        <f t="shared" si="70"/>
        <v>2016</v>
      </c>
      <c r="V1312" s="172">
        <f t="shared" si="71"/>
        <v>6</v>
      </c>
      <c r="W1312" s="44" t="s">
        <v>280</v>
      </c>
      <c r="X1312" t="s">
        <v>892</v>
      </c>
      <c r="Y1312">
        <v>1</v>
      </c>
      <c r="AA1312" s="13">
        <f t="shared" si="69"/>
        <v>573371</v>
      </c>
      <c r="AE1312" s="43"/>
      <c r="AL1312" s="87" t="s">
        <v>819</v>
      </c>
      <c r="AM1312" s="86">
        <v>490854</v>
      </c>
    </row>
    <row r="1313" spans="13:39" hidden="1">
      <c r="M1313" s="131">
        <v>574321</v>
      </c>
      <c r="N1313" s="223">
        <v>460202</v>
      </c>
      <c r="O1313" s="132" t="s">
        <v>244</v>
      </c>
      <c r="P1313" s="132" t="s">
        <v>245</v>
      </c>
      <c r="Q1313" s="133">
        <v>42</v>
      </c>
      <c r="R1313" s="132" t="s">
        <v>281</v>
      </c>
      <c r="S1313" s="132" t="s">
        <v>11</v>
      </c>
      <c r="T1313" s="134">
        <v>41959</v>
      </c>
      <c r="U1313" s="172">
        <f t="shared" si="70"/>
        <v>2014</v>
      </c>
      <c r="V1313" s="172">
        <f t="shared" si="71"/>
        <v>11</v>
      </c>
      <c r="W1313" s="44" t="s">
        <v>301</v>
      </c>
      <c r="X1313" t="s">
        <v>894</v>
      </c>
      <c r="Y1313">
        <v>1</v>
      </c>
      <c r="AA1313" s="13">
        <f t="shared" si="69"/>
        <v>574321</v>
      </c>
      <c r="AE1313" s="43"/>
      <c r="AL1313" s="87" t="s">
        <v>819</v>
      </c>
      <c r="AM1313" s="86">
        <v>490854</v>
      </c>
    </row>
    <row r="1314" spans="13:39" hidden="1">
      <c r="M1314" s="131">
        <v>577358</v>
      </c>
      <c r="N1314" s="223">
        <v>348160</v>
      </c>
      <c r="O1314" s="132" t="s">
        <v>244</v>
      </c>
      <c r="P1314" s="132" t="s">
        <v>245</v>
      </c>
      <c r="Q1314" s="133">
        <v>14</v>
      </c>
      <c r="R1314" s="132" t="s">
        <v>281</v>
      </c>
      <c r="S1314" s="132" t="s">
        <v>11</v>
      </c>
      <c r="T1314" s="134">
        <v>41959</v>
      </c>
      <c r="U1314" s="172">
        <f t="shared" si="70"/>
        <v>2014</v>
      </c>
      <c r="V1314" s="172">
        <f t="shared" si="71"/>
        <v>11</v>
      </c>
      <c r="W1314" s="44" t="s">
        <v>301</v>
      </c>
      <c r="X1314" t="s">
        <v>894</v>
      </c>
      <c r="Y1314">
        <v>1</v>
      </c>
      <c r="AA1314" s="13">
        <f t="shared" si="69"/>
        <v>577358</v>
      </c>
      <c r="AE1314" s="43"/>
      <c r="AL1314" s="87" t="s">
        <v>819</v>
      </c>
      <c r="AM1314" s="86">
        <v>490854</v>
      </c>
    </row>
    <row r="1315" spans="13:39" hidden="1">
      <c r="M1315" s="131">
        <v>580000</v>
      </c>
      <c r="N1315" s="222">
        <v>359430</v>
      </c>
      <c r="O1315" s="132" t="s">
        <v>244</v>
      </c>
      <c r="P1315" s="132" t="s">
        <v>245</v>
      </c>
      <c r="Q1315" s="133">
        <v>10</v>
      </c>
      <c r="R1315" s="132" t="s">
        <v>281</v>
      </c>
      <c r="S1315" s="132" t="s">
        <v>11</v>
      </c>
      <c r="T1315" s="134">
        <v>41959</v>
      </c>
      <c r="U1315" s="172">
        <f t="shared" si="70"/>
        <v>2014</v>
      </c>
      <c r="V1315" s="172">
        <f t="shared" si="71"/>
        <v>11</v>
      </c>
      <c r="W1315" s="44" t="s">
        <v>301</v>
      </c>
      <c r="X1315" t="s">
        <v>894</v>
      </c>
      <c r="Y1315">
        <v>1</v>
      </c>
      <c r="AA1315" s="13">
        <f t="shared" si="69"/>
        <v>580000</v>
      </c>
      <c r="AE1315" s="43"/>
      <c r="AL1315" s="87" t="s">
        <v>819</v>
      </c>
      <c r="AM1315" s="86">
        <v>490854</v>
      </c>
    </row>
    <row r="1316" spans="13:39" hidden="1">
      <c r="M1316" s="131">
        <v>581000</v>
      </c>
      <c r="N1316" s="223">
        <v>541796</v>
      </c>
      <c r="O1316" s="132" t="s">
        <v>244</v>
      </c>
      <c r="P1316" s="132" t="s">
        <v>245</v>
      </c>
      <c r="Q1316" s="133">
        <v>1235</v>
      </c>
      <c r="R1316" s="132" t="s">
        <v>279</v>
      </c>
      <c r="S1316" s="132" t="s">
        <v>11</v>
      </c>
      <c r="T1316" s="134">
        <v>42548</v>
      </c>
      <c r="U1316" s="172">
        <f t="shared" si="70"/>
        <v>2016</v>
      </c>
      <c r="V1316" s="172">
        <f t="shared" si="71"/>
        <v>6</v>
      </c>
      <c r="W1316" s="44" t="s">
        <v>280</v>
      </c>
      <c r="X1316" t="s">
        <v>892</v>
      </c>
      <c r="Y1316">
        <v>1</v>
      </c>
      <c r="AA1316" s="13">
        <f t="shared" si="69"/>
        <v>581000</v>
      </c>
      <c r="AE1316" s="43"/>
      <c r="AL1316" s="87" t="s">
        <v>819</v>
      </c>
      <c r="AM1316" s="86">
        <v>490854</v>
      </c>
    </row>
    <row r="1317" spans="13:39" hidden="1">
      <c r="M1317" s="131">
        <v>583577</v>
      </c>
      <c r="N1317" s="222">
        <v>428379</v>
      </c>
      <c r="O1317" s="132" t="s">
        <v>244</v>
      </c>
      <c r="P1317" s="132" t="s">
        <v>245</v>
      </c>
      <c r="Q1317" s="133">
        <v>17</v>
      </c>
      <c r="R1317" s="132" t="s">
        <v>281</v>
      </c>
      <c r="S1317" s="132" t="s">
        <v>11</v>
      </c>
      <c r="T1317" s="134">
        <v>41959</v>
      </c>
      <c r="U1317" s="172">
        <f t="shared" si="70"/>
        <v>2014</v>
      </c>
      <c r="V1317" s="172">
        <f t="shared" si="71"/>
        <v>11</v>
      </c>
      <c r="W1317" s="44" t="s">
        <v>301</v>
      </c>
      <c r="X1317" t="s">
        <v>894</v>
      </c>
      <c r="Y1317">
        <v>1</v>
      </c>
      <c r="AA1317" s="13">
        <f t="shared" si="69"/>
        <v>583577</v>
      </c>
      <c r="AE1317" s="43"/>
      <c r="AL1317" s="87" t="s">
        <v>819</v>
      </c>
      <c r="AM1317" s="86">
        <v>490854</v>
      </c>
    </row>
    <row r="1318" spans="13:39" hidden="1">
      <c r="M1318" s="131">
        <v>590000</v>
      </c>
      <c r="N1318" s="223">
        <v>525173</v>
      </c>
      <c r="O1318" s="132" t="s">
        <v>244</v>
      </c>
      <c r="P1318" s="132" t="s">
        <v>245</v>
      </c>
      <c r="Q1318" s="133">
        <v>45</v>
      </c>
      <c r="R1318" s="132" t="s">
        <v>281</v>
      </c>
      <c r="S1318" s="132" t="s">
        <v>11</v>
      </c>
      <c r="T1318" s="134">
        <v>41959</v>
      </c>
      <c r="U1318" s="172">
        <f t="shared" si="70"/>
        <v>2014</v>
      </c>
      <c r="V1318" s="172">
        <f t="shared" si="71"/>
        <v>11</v>
      </c>
      <c r="W1318" s="44" t="s">
        <v>301</v>
      </c>
      <c r="X1318" t="s">
        <v>894</v>
      </c>
      <c r="Y1318">
        <v>1</v>
      </c>
      <c r="AA1318" s="13">
        <f t="shared" si="69"/>
        <v>590000</v>
      </c>
      <c r="AE1318" s="43"/>
      <c r="AL1318" s="87" t="s">
        <v>819</v>
      </c>
      <c r="AM1318" s="86">
        <v>490854</v>
      </c>
    </row>
    <row r="1319" spans="13:39" hidden="1">
      <c r="M1319" s="131">
        <v>594189</v>
      </c>
      <c r="N1319" s="223">
        <v>546921</v>
      </c>
      <c r="O1319" s="132" t="s">
        <v>244</v>
      </c>
      <c r="P1319" s="132" t="s">
        <v>245</v>
      </c>
      <c r="Q1319" s="133">
        <v>1180</v>
      </c>
      <c r="R1319" s="132" t="s">
        <v>279</v>
      </c>
      <c r="S1319" s="132" t="s">
        <v>11</v>
      </c>
      <c r="T1319" s="134">
        <v>42548</v>
      </c>
      <c r="U1319" s="172">
        <f t="shared" si="70"/>
        <v>2016</v>
      </c>
      <c r="V1319" s="172">
        <f t="shared" si="71"/>
        <v>6</v>
      </c>
      <c r="W1319" s="44" t="s">
        <v>280</v>
      </c>
      <c r="X1319" t="s">
        <v>892</v>
      </c>
      <c r="Y1319">
        <v>1</v>
      </c>
      <c r="AA1319" s="13">
        <f t="shared" si="69"/>
        <v>594189</v>
      </c>
      <c r="AE1319" s="43"/>
      <c r="AL1319" s="87" t="s">
        <v>819</v>
      </c>
      <c r="AM1319" s="86">
        <v>490854</v>
      </c>
    </row>
    <row r="1320" spans="13:39" hidden="1">
      <c r="M1320" s="131">
        <v>595000</v>
      </c>
      <c r="N1320" s="223">
        <v>538378</v>
      </c>
      <c r="O1320" s="132" t="s">
        <v>244</v>
      </c>
      <c r="P1320" s="132" t="s">
        <v>245</v>
      </c>
      <c r="Q1320" s="133">
        <v>1575</v>
      </c>
      <c r="R1320" s="132" t="s">
        <v>279</v>
      </c>
      <c r="S1320" s="132" t="s">
        <v>11</v>
      </c>
      <c r="T1320" s="134">
        <v>42548</v>
      </c>
      <c r="U1320" s="172">
        <f t="shared" si="70"/>
        <v>2016</v>
      </c>
      <c r="V1320" s="172">
        <f t="shared" si="71"/>
        <v>6</v>
      </c>
      <c r="W1320" s="44" t="s">
        <v>280</v>
      </c>
      <c r="X1320" t="s">
        <v>892</v>
      </c>
      <c r="Y1320">
        <v>1</v>
      </c>
      <c r="AA1320" s="13">
        <f t="shared" si="69"/>
        <v>595000</v>
      </c>
      <c r="AE1320" s="43"/>
      <c r="AL1320" s="87" t="s">
        <v>819</v>
      </c>
      <c r="AM1320" s="86">
        <v>490854</v>
      </c>
    </row>
    <row r="1321" spans="13:39" hidden="1">
      <c r="M1321" s="131">
        <v>595890</v>
      </c>
      <c r="N1321" s="222">
        <v>397883</v>
      </c>
      <c r="O1321" s="132" t="s">
        <v>244</v>
      </c>
      <c r="P1321" s="132" t="s">
        <v>245</v>
      </c>
      <c r="Q1321" s="133">
        <v>12</v>
      </c>
      <c r="R1321" s="132" t="s">
        <v>281</v>
      </c>
      <c r="S1321" s="132" t="s">
        <v>11</v>
      </c>
      <c r="T1321" s="134">
        <v>41959</v>
      </c>
      <c r="U1321" s="172">
        <f t="shared" si="70"/>
        <v>2014</v>
      </c>
      <c r="V1321" s="172">
        <f t="shared" si="71"/>
        <v>11</v>
      </c>
      <c r="W1321" s="44" t="s">
        <v>301</v>
      </c>
      <c r="X1321" t="s">
        <v>894</v>
      </c>
      <c r="Y1321">
        <v>1</v>
      </c>
      <c r="AA1321" s="13">
        <f t="shared" si="69"/>
        <v>595890</v>
      </c>
      <c r="AE1321" s="43"/>
      <c r="AL1321" s="87" t="s">
        <v>819</v>
      </c>
      <c r="AM1321" s="86">
        <v>490854</v>
      </c>
    </row>
    <row r="1322" spans="13:39" hidden="1">
      <c r="M1322" s="131">
        <v>600000</v>
      </c>
      <c r="N1322" s="223">
        <v>546921</v>
      </c>
      <c r="O1322" s="132" t="s">
        <v>244</v>
      </c>
      <c r="P1322" s="132" t="s">
        <v>245</v>
      </c>
      <c r="Q1322" s="133">
        <v>1077</v>
      </c>
      <c r="R1322" s="132" t="s">
        <v>279</v>
      </c>
      <c r="S1322" s="132" t="s">
        <v>11</v>
      </c>
      <c r="T1322" s="134">
        <v>42548</v>
      </c>
      <c r="U1322" s="172">
        <f t="shared" si="70"/>
        <v>2016</v>
      </c>
      <c r="V1322" s="172">
        <f t="shared" si="71"/>
        <v>6</v>
      </c>
      <c r="W1322" s="44" t="s">
        <v>280</v>
      </c>
      <c r="X1322" t="s">
        <v>892</v>
      </c>
      <c r="Y1322">
        <v>1</v>
      </c>
      <c r="AA1322" s="13">
        <f t="shared" si="69"/>
        <v>600000</v>
      </c>
      <c r="AE1322" s="43"/>
      <c r="AL1322" s="87" t="s">
        <v>819</v>
      </c>
      <c r="AM1322" s="86">
        <v>490854</v>
      </c>
    </row>
    <row r="1323" spans="13:39" hidden="1">
      <c r="M1323" s="131">
        <v>601195</v>
      </c>
      <c r="N1323" s="222">
        <v>390590</v>
      </c>
      <c r="O1323" s="132" t="s">
        <v>244</v>
      </c>
      <c r="P1323" s="132" t="s">
        <v>245</v>
      </c>
      <c r="Q1323" s="133">
        <v>21</v>
      </c>
      <c r="R1323" s="132" t="s">
        <v>281</v>
      </c>
      <c r="S1323" s="132" t="s">
        <v>11</v>
      </c>
      <c r="T1323" s="134">
        <v>41959</v>
      </c>
      <c r="U1323" s="172">
        <f t="shared" si="70"/>
        <v>2014</v>
      </c>
      <c r="V1323" s="172">
        <f t="shared" si="71"/>
        <v>11</v>
      </c>
      <c r="W1323" s="44" t="s">
        <v>301</v>
      </c>
      <c r="X1323" t="s">
        <v>894</v>
      </c>
      <c r="Y1323">
        <v>1</v>
      </c>
      <c r="AA1323" s="13">
        <f t="shared" si="69"/>
        <v>601195</v>
      </c>
      <c r="AE1323" s="43"/>
      <c r="AL1323" s="87" t="s">
        <v>819</v>
      </c>
      <c r="AM1323" s="86">
        <v>490854</v>
      </c>
    </row>
    <row r="1324" spans="13:39" hidden="1">
      <c r="M1324" s="131">
        <v>605000</v>
      </c>
      <c r="N1324" s="222">
        <v>397883</v>
      </c>
      <c r="O1324" s="132" t="s">
        <v>244</v>
      </c>
      <c r="P1324" s="132" t="s">
        <v>245</v>
      </c>
      <c r="Q1324" s="133">
        <v>41</v>
      </c>
      <c r="R1324" s="132" t="s">
        <v>281</v>
      </c>
      <c r="S1324" s="132" t="s">
        <v>11</v>
      </c>
      <c r="T1324" s="134">
        <v>41959</v>
      </c>
      <c r="U1324" s="172">
        <f t="shared" si="70"/>
        <v>2014</v>
      </c>
      <c r="V1324" s="172">
        <f t="shared" si="71"/>
        <v>11</v>
      </c>
      <c r="W1324" s="44" t="s">
        <v>301</v>
      </c>
      <c r="X1324" t="s">
        <v>894</v>
      </c>
      <c r="Y1324">
        <v>1</v>
      </c>
      <c r="AA1324" s="13">
        <f t="shared" si="69"/>
        <v>605000</v>
      </c>
      <c r="AE1324" s="43"/>
      <c r="AL1324" s="87" t="s">
        <v>819</v>
      </c>
      <c r="AM1324" s="86">
        <v>490854</v>
      </c>
    </row>
    <row r="1325" spans="13:39" hidden="1">
      <c r="M1325" s="131">
        <v>610000</v>
      </c>
      <c r="N1325" s="223">
        <v>503958</v>
      </c>
      <c r="O1325" s="132" t="s">
        <v>244</v>
      </c>
      <c r="P1325" s="132" t="s">
        <v>245</v>
      </c>
      <c r="Q1325" s="133">
        <v>46</v>
      </c>
      <c r="R1325" s="132" t="s">
        <v>281</v>
      </c>
      <c r="S1325" s="132" t="s">
        <v>11</v>
      </c>
      <c r="T1325" s="134">
        <v>41959</v>
      </c>
      <c r="U1325" s="172">
        <f t="shared" si="70"/>
        <v>2014</v>
      </c>
      <c r="V1325" s="172">
        <f t="shared" si="71"/>
        <v>11</v>
      </c>
      <c r="W1325" s="44" t="s">
        <v>301</v>
      </c>
      <c r="X1325" t="s">
        <v>894</v>
      </c>
      <c r="Y1325">
        <v>1</v>
      </c>
      <c r="AA1325" s="13">
        <f t="shared" si="69"/>
        <v>610000</v>
      </c>
      <c r="AE1325" s="43"/>
      <c r="AL1325" s="87" t="s">
        <v>819</v>
      </c>
      <c r="AM1325" s="86">
        <v>490854</v>
      </c>
    </row>
    <row r="1326" spans="13:39" hidden="1">
      <c r="M1326" s="131">
        <v>613026</v>
      </c>
      <c r="N1326" s="222">
        <v>376668</v>
      </c>
      <c r="O1326" s="132" t="s">
        <v>244</v>
      </c>
      <c r="P1326" s="132" t="s">
        <v>245</v>
      </c>
      <c r="Q1326" s="133">
        <v>8</v>
      </c>
      <c r="R1326" s="132" t="s">
        <v>281</v>
      </c>
      <c r="S1326" s="132" t="s">
        <v>11</v>
      </c>
      <c r="T1326" s="134">
        <v>41959</v>
      </c>
      <c r="U1326" s="172">
        <f t="shared" si="70"/>
        <v>2014</v>
      </c>
      <c r="V1326" s="172">
        <f t="shared" si="71"/>
        <v>11</v>
      </c>
      <c r="W1326" s="44" t="s">
        <v>301</v>
      </c>
      <c r="X1326" t="s">
        <v>894</v>
      </c>
      <c r="Y1326">
        <v>1</v>
      </c>
      <c r="AA1326" s="13">
        <f t="shared" si="69"/>
        <v>613026</v>
      </c>
      <c r="AE1326" s="43"/>
      <c r="AL1326" s="87" t="s">
        <v>819</v>
      </c>
      <c r="AM1326" s="86">
        <v>490854</v>
      </c>
    </row>
    <row r="1327" spans="13:39" hidden="1">
      <c r="M1327" s="131">
        <v>616000</v>
      </c>
      <c r="N1327" s="222">
        <v>390590</v>
      </c>
      <c r="O1327" s="132" t="s">
        <v>244</v>
      </c>
      <c r="P1327" s="132" t="s">
        <v>245</v>
      </c>
      <c r="Q1327" s="133">
        <v>13</v>
      </c>
      <c r="R1327" s="132" t="s">
        <v>281</v>
      </c>
      <c r="S1327" s="132" t="s">
        <v>11</v>
      </c>
      <c r="T1327" s="134">
        <v>41959</v>
      </c>
      <c r="U1327" s="172">
        <f t="shared" si="70"/>
        <v>2014</v>
      </c>
      <c r="V1327" s="172">
        <f t="shared" si="71"/>
        <v>11</v>
      </c>
      <c r="W1327" s="44" t="s">
        <v>301</v>
      </c>
      <c r="X1327" t="s">
        <v>894</v>
      </c>
      <c r="Y1327">
        <v>1</v>
      </c>
      <c r="AA1327" s="13">
        <f t="shared" si="69"/>
        <v>616000</v>
      </c>
      <c r="AE1327" s="43"/>
      <c r="AL1327" s="87" t="s">
        <v>819</v>
      </c>
      <c r="AM1327" s="86">
        <v>490854</v>
      </c>
    </row>
    <row r="1328" spans="13:39" hidden="1">
      <c r="M1328" s="131">
        <v>621001</v>
      </c>
      <c r="N1328" s="223">
        <v>502632</v>
      </c>
      <c r="O1328" s="132" t="s">
        <v>244</v>
      </c>
      <c r="P1328" s="132" t="s">
        <v>245</v>
      </c>
      <c r="Q1328" s="133">
        <v>49</v>
      </c>
      <c r="R1328" s="132" t="s">
        <v>281</v>
      </c>
      <c r="S1328" s="132" t="s">
        <v>11</v>
      </c>
      <c r="T1328" s="134">
        <v>41959</v>
      </c>
      <c r="U1328" s="172">
        <f t="shared" si="70"/>
        <v>2014</v>
      </c>
      <c r="V1328" s="172">
        <f t="shared" si="71"/>
        <v>11</v>
      </c>
      <c r="W1328" s="44" t="s">
        <v>301</v>
      </c>
      <c r="X1328" t="s">
        <v>894</v>
      </c>
      <c r="Y1328">
        <v>1</v>
      </c>
      <c r="AA1328" s="13">
        <f t="shared" si="69"/>
        <v>621001</v>
      </c>
      <c r="AE1328" s="43"/>
      <c r="AL1328" s="87" t="s">
        <v>819</v>
      </c>
      <c r="AM1328" s="86">
        <v>490854</v>
      </c>
    </row>
    <row r="1329" spans="13:39" hidden="1">
      <c r="M1329" s="131">
        <v>641001</v>
      </c>
      <c r="N1329" s="223">
        <v>455561</v>
      </c>
      <c r="O1329" s="132" t="s">
        <v>244</v>
      </c>
      <c r="P1329" s="132" t="s">
        <v>245</v>
      </c>
      <c r="Q1329" s="133">
        <v>6</v>
      </c>
      <c r="R1329" s="132" t="s">
        <v>281</v>
      </c>
      <c r="S1329" s="132" t="s">
        <v>11</v>
      </c>
      <c r="T1329" s="134">
        <v>41959</v>
      </c>
      <c r="U1329" s="172">
        <f t="shared" si="70"/>
        <v>2014</v>
      </c>
      <c r="V1329" s="172">
        <f t="shared" si="71"/>
        <v>11</v>
      </c>
      <c r="W1329" s="44" t="s">
        <v>301</v>
      </c>
      <c r="X1329" t="s">
        <v>894</v>
      </c>
      <c r="Y1329">
        <v>1</v>
      </c>
      <c r="AA1329" s="13">
        <f t="shared" si="69"/>
        <v>641001</v>
      </c>
      <c r="AE1329" s="43"/>
      <c r="AL1329" s="87" t="s">
        <v>819</v>
      </c>
      <c r="AM1329" s="86">
        <v>490854</v>
      </c>
    </row>
    <row r="1330" spans="13:39" hidden="1">
      <c r="M1330" s="131">
        <v>645000</v>
      </c>
      <c r="N1330" s="223">
        <v>560973</v>
      </c>
      <c r="O1330" s="132" t="s">
        <v>244</v>
      </c>
      <c r="P1330" s="132" t="s">
        <v>245</v>
      </c>
      <c r="Q1330" s="133">
        <v>47</v>
      </c>
      <c r="R1330" s="132" t="s">
        <v>281</v>
      </c>
      <c r="S1330" s="132" t="s">
        <v>11</v>
      </c>
      <c r="T1330" s="134">
        <v>41959</v>
      </c>
      <c r="U1330" s="172">
        <f t="shared" si="70"/>
        <v>2014</v>
      </c>
      <c r="V1330" s="172">
        <f t="shared" si="71"/>
        <v>11</v>
      </c>
      <c r="W1330" s="44" t="s">
        <v>301</v>
      </c>
      <c r="X1330" t="s">
        <v>894</v>
      </c>
      <c r="Y1330">
        <v>1</v>
      </c>
      <c r="AA1330" s="13">
        <f t="shared" si="69"/>
        <v>645000</v>
      </c>
      <c r="AE1330" s="43"/>
      <c r="AL1330" s="87" t="s">
        <v>819</v>
      </c>
      <c r="AM1330" s="86">
        <v>490854</v>
      </c>
    </row>
    <row r="1331" spans="13:39" hidden="1">
      <c r="M1331" s="131">
        <v>645780</v>
      </c>
      <c r="N1331" s="222">
        <v>408490</v>
      </c>
      <c r="O1331" s="132" t="s">
        <v>244</v>
      </c>
      <c r="P1331" s="132" t="s">
        <v>245</v>
      </c>
      <c r="Q1331" s="133">
        <v>5</v>
      </c>
      <c r="R1331" s="132" t="s">
        <v>281</v>
      </c>
      <c r="S1331" s="132" t="s">
        <v>11</v>
      </c>
      <c r="T1331" s="134">
        <v>41959</v>
      </c>
      <c r="U1331" s="172">
        <f t="shared" si="70"/>
        <v>2014</v>
      </c>
      <c r="V1331" s="172">
        <f t="shared" si="71"/>
        <v>11</v>
      </c>
      <c r="W1331" s="44" t="s">
        <v>301</v>
      </c>
      <c r="X1331" t="s">
        <v>894</v>
      </c>
      <c r="Y1331">
        <v>1</v>
      </c>
      <c r="AA1331" s="13">
        <f t="shared" si="69"/>
        <v>645780</v>
      </c>
      <c r="AE1331" s="43"/>
      <c r="AL1331" s="87" t="s">
        <v>819</v>
      </c>
      <c r="AM1331" s="86">
        <v>490854</v>
      </c>
    </row>
    <row r="1332" spans="13:39" hidden="1">
      <c r="M1332" s="131">
        <v>650000</v>
      </c>
      <c r="N1332" s="223">
        <v>550338</v>
      </c>
      <c r="O1332" s="132" t="s">
        <v>244</v>
      </c>
      <c r="P1332" s="132" t="s">
        <v>245</v>
      </c>
      <c r="Q1332" s="133">
        <v>1085</v>
      </c>
      <c r="R1332" s="132" t="s">
        <v>279</v>
      </c>
      <c r="S1332" s="132" t="s">
        <v>11</v>
      </c>
      <c r="T1332" s="134">
        <v>42548</v>
      </c>
      <c r="U1332" s="172">
        <f t="shared" si="70"/>
        <v>2016</v>
      </c>
      <c r="V1332" s="172">
        <f t="shared" si="71"/>
        <v>6</v>
      </c>
      <c r="W1332" s="44" t="s">
        <v>280</v>
      </c>
      <c r="X1332" t="s">
        <v>892</v>
      </c>
      <c r="Y1332">
        <v>1</v>
      </c>
      <c r="AA1332" s="13">
        <f t="shared" si="69"/>
        <v>650000</v>
      </c>
      <c r="AE1332" s="43"/>
      <c r="AL1332" s="87" t="s">
        <v>819</v>
      </c>
      <c r="AM1332" s="86">
        <v>490854</v>
      </c>
    </row>
    <row r="1333" spans="13:39" hidden="1">
      <c r="M1333" s="131">
        <v>652055</v>
      </c>
      <c r="N1333" s="222">
        <v>377331</v>
      </c>
      <c r="O1333" s="132" t="s">
        <v>244</v>
      </c>
      <c r="P1333" s="132" t="s">
        <v>245</v>
      </c>
      <c r="Q1333" s="133">
        <v>7</v>
      </c>
      <c r="R1333" s="132" t="s">
        <v>281</v>
      </c>
      <c r="S1333" s="132" t="s">
        <v>11</v>
      </c>
      <c r="T1333" s="134">
        <v>41959</v>
      </c>
      <c r="U1333" s="172">
        <f t="shared" si="70"/>
        <v>2014</v>
      </c>
      <c r="V1333" s="172">
        <f t="shared" si="71"/>
        <v>11</v>
      </c>
      <c r="W1333" s="44" t="s">
        <v>301</v>
      </c>
      <c r="X1333" t="s">
        <v>894</v>
      </c>
      <c r="Y1333">
        <v>1</v>
      </c>
      <c r="AA1333" s="13">
        <f t="shared" si="69"/>
        <v>652055</v>
      </c>
      <c r="AE1333" s="43"/>
      <c r="AL1333" s="87" t="s">
        <v>819</v>
      </c>
      <c r="AM1333" s="86">
        <v>49131022</v>
      </c>
    </row>
    <row r="1334" spans="13:39" hidden="1">
      <c r="M1334" s="131">
        <v>657126</v>
      </c>
      <c r="N1334" s="222">
        <v>375342</v>
      </c>
      <c r="O1334" s="132" t="s">
        <v>244</v>
      </c>
      <c r="P1334" s="132" t="s">
        <v>245</v>
      </c>
      <c r="Q1334" s="133">
        <v>1</v>
      </c>
      <c r="R1334" s="132" t="s">
        <v>281</v>
      </c>
      <c r="S1334" s="132" t="s">
        <v>11</v>
      </c>
      <c r="T1334" s="134">
        <v>41959</v>
      </c>
      <c r="U1334" s="172">
        <f t="shared" si="70"/>
        <v>2014</v>
      </c>
      <c r="V1334" s="172">
        <f t="shared" si="71"/>
        <v>11</v>
      </c>
      <c r="W1334" s="44" t="s">
        <v>301</v>
      </c>
      <c r="X1334" t="s">
        <v>894</v>
      </c>
      <c r="Y1334">
        <v>1</v>
      </c>
      <c r="AA1334" s="13">
        <f t="shared" si="69"/>
        <v>657126</v>
      </c>
      <c r="AE1334" s="43"/>
      <c r="AL1334" s="87" t="s">
        <v>819</v>
      </c>
      <c r="AM1334" s="86">
        <v>491350</v>
      </c>
    </row>
    <row r="1335" spans="13:39" hidden="1">
      <c r="M1335" s="131">
        <v>661001</v>
      </c>
      <c r="N1335" s="223">
        <v>429705</v>
      </c>
      <c r="O1335" s="132" t="s">
        <v>244</v>
      </c>
      <c r="P1335" s="132" t="s">
        <v>245</v>
      </c>
      <c r="Q1335" s="133">
        <v>28</v>
      </c>
      <c r="R1335" s="132" t="s">
        <v>281</v>
      </c>
      <c r="S1335" s="132" t="s">
        <v>11</v>
      </c>
      <c r="T1335" s="134">
        <v>41959</v>
      </c>
      <c r="U1335" s="172">
        <f t="shared" si="70"/>
        <v>2014</v>
      </c>
      <c r="V1335" s="172">
        <f t="shared" si="71"/>
        <v>11</v>
      </c>
      <c r="W1335" s="44" t="s">
        <v>301</v>
      </c>
      <c r="X1335" t="s">
        <v>894</v>
      </c>
      <c r="Y1335">
        <v>1</v>
      </c>
      <c r="AA1335" s="13">
        <f t="shared" si="69"/>
        <v>661001</v>
      </c>
      <c r="AE1335" s="43"/>
      <c r="AL1335" s="87" t="s">
        <v>819</v>
      </c>
      <c r="AM1335" s="86">
        <v>491350</v>
      </c>
    </row>
    <row r="1336" spans="13:39" hidden="1">
      <c r="M1336" s="131">
        <v>664673</v>
      </c>
      <c r="N1336" s="222">
        <v>429042</v>
      </c>
      <c r="O1336" s="132" t="s">
        <v>244</v>
      </c>
      <c r="P1336" s="132" t="s">
        <v>245</v>
      </c>
      <c r="Q1336" s="133">
        <v>4</v>
      </c>
      <c r="R1336" s="132" t="s">
        <v>281</v>
      </c>
      <c r="S1336" s="132" t="s">
        <v>11</v>
      </c>
      <c r="T1336" s="134">
        <v>41959</v>
      </c>
      <c r="U1336" s="172">
        <f t="shared" si="70"/>
        <v>2014</v>
      </c>
      <c r="V1336" s="172">
        <f t="shared" si="71"/>
        <v>11</v>
      </c>
      <c r="W1336" s="44" t="s">
        <v>301</v>
      </c>
      <c r="X1336" t="s">
        <v>894</v>
      </c>
      <c r="Y1336">
        <v>1</v>
      </c>
      <c r="AA1336" s="13">
        <f t="shared" si="69"/>
        <v>664673</v>
      </c>
      <c r="AE1336" s="43"/>
      <c r="AL1336" s="87" t="s">
        <v>819</v>
      </c>
      <c r="AM1336" s="86">
        <v>491350</v>
      </c>
    </row>
    <row r="1337" spans="13:39" hidden="1">
      <c r="M1337" s="131">
        <v>667001</v>
      </c>
      <c r="N1337" s="223">
        <v>436998</v>
      </c>
      <c r="O1337" s="132" t="s">
        <v>244</v>
      </c>
      <c r="P1337" s="132" t="s">
        <v>245</v>
      </c>
      <c r="Q1337" s="133">
        <v>29</v>
      </c>
      <c r="R1337" s="132" t="s">
        <v>281</v>
      </c>
      <c r="S1337" s="132" t="s">
        <v>11</v>
      </c>
      <c r="T1337" s="134">
        <v>41959</v>
      </c>
      <c r="U1337" s="172">
        <f t="shared" si="70"/>
        <v>2014</v>
      </c>
      <c r="V1337" s="172">
        <f t="shared" si="71"/>
        <v>11</v>
      </c>
      <c r="W1337" s="44" t="s">
        <v>301</v>
      </c>
      <c r="X1337" t="s">
        <v>894</v>
      </c>
      <c r="Y1337">
        <v>1</v>
      </c>
      <c r="AA1337" s="13">
        <f t="shared" si="69"/>
        <v>667001</v>
      </c>
      <c r="AE1337" s="43"/>
      <c r="AL1337" s="87" t="s">
        <v>819</v>
      </c>
      <c r="AM1337" s="86">
        <v>491350</v>
      </c>
    </row>
    <row r="1338" spans="13:39" hidden="1">
      <c r="M1338" s="131">
        <v>672520</v>
      </c>
      <c r="N1338" s="222">
        <v>383297</v>
      </c>
      <c r="O1338" s="132" t="s">
        <v>244</v>
      </c>
      <c r="P1338" s="132" t="s">
        <v>245</v>
      </c>
      <c r="Q1338" s="133">
        <v>20</v>
      </c>
      <c r="R1338" s="132" t="s">
        <v>281</v>
      </c>
      <c r="S1338" s="132" t="s">
        <v>11</v>
      </c>
      <c r="T1338" s="134">
        <v>41959</v>
      </c>
      <c r="U1338" s="172">
        <f t="shared" si="70"/>
        <v>2014</v>
      </c>
      <c r="V1338" s="172">
        <f t="shared" si="71"/>
        <v>11</v>
      </c>
      <c r="W1338" s="44" t="s">
        <v>301</v>
      </c>
      <c r="X1338" t="s">
        <v>894</v>
      </c>
      <c r="Y1338">
        <v>1</v>
      </c>
      <c r="AA1338" s="13">
        <f t="shared" si="69"/>
        <v>672520</v>
      </c>
      <c r="AE1338" s="43"/>
      <c r="AL1338" s="87" t="s">
        <v>819</v>
      </c>
      <c r="AM1338" s="86">
        <v>491350</v>
      </c>
    </row>
    <row r="1339" spans="13:39" hidden="1">
      <c r="M1339" s="131">
        <v>678777</v>
      </c>
      <c r="N1339" s="222">
        <v>424334</v>
      </c>
      <c r="O1339" s="132" t="s">
        <v>244</v>
      </c>
      <c r="P1339" s="132" t="s">
        <v>245</v>
      </c>
      <c r="Q1339" s="133">
        <v>110</v>
      </c>
      <c r="R1339" s="132" t="s">
        <v>289</v>
      </c>
      <c r="S1339" s="132" t="s">
        <v>11</v>
      </c>
      <c r="T1339" s="134">
        <v>41652</v>
      </c>
      <c r="U1339" s="172">
        <f t="shared" si="70"/>
        <v>2014</v>
      </c>
      <c r="V1339" s="172">
        <f t="shared" si="71"/>
        <v>1</v>
      </c>
      <c r="W1339" s="44" t="s">
        <v>316</v>
      </c>
      <c r="X1339" t="s">
        <v>894</v>
      </c>
      <c r="Y1339">
        <v>1</v>
      </c>
      <c r="AA1339" s="13">
        <f t="shared" si="69"/>
        <v>678777</v>
      </c>
      <c r="AE1339" s="43"/>
      <c r="AL1339" s="87" t="s">
        <v>819</v>
      </c>
      <c r="AM1339" s="86">
        <v>491350</v>
      </c>
    </row>
    <row r="1340" spans="13:39" hidden="1">
      <c r="M1340" s="131">
        <v>681001</v>
      </c>
      <c r="N1340" s="222">
        <v>403186</v>
      </c>
      <c r="O1340" s="132" t="s">
        <v>244</v>
      </c>
      <c r="P1340" s="132" t="s">
        <v>245</v>
      </c>
      <c r="Q1340" s="133">
        <v>19</v>
      </c>
      <c r="R1340" s="132" t="s">
        <v>281</v>
      </c>
      <c r="S1340" s="132" t="s">
        <v>11</v>
      </c>
      <c r="T1340" s="134">
        <v>41959</v>
      </c>
      <c r="U1340" s="172">
        <f t="shared" si="70"/>
        <v>2014</v>
      </c>
      <c r="V1340" s="172">
        <f t="shared" si="71"/>
        <v>11</v>
      </c>
      <c r="W1340" s="44" t="s">
        <v>301</v>
      </c>
      <c r="X1340" t="s">
        <v>894</v>
      </c>
      <c r="Y1340">
        <v>1</v>
      </c>
      <c r="AA1340" s="13">
        <f t="shared" si="69"/>
        <v>681001</v>
      </c>
      <c r="AE1340" s="43"/>
      <c r="AL1340" s="87" t="s">
        <v>819</v>
      </c>
      <c r="AM1340" s="86">
        <v>491350</v>
      </c>
    </row>
    <row r="1341" spans="13:39" hidden="1">
      <c r="M1341" s="131">
        <v>691000</v>
      </c>
      <c r="N1341" s="223">
        <v>342375</v>
      </c>
      <c r="O1341" s="132" t="s">
        <v>244</v>
      </c>
      <c r="P1341" s="132" t="s">
        <v>245</v>
      </c>
      <c r="Q1341" s="133">
        <v>30</v>
      </c>
      <c r="R1341" s="132" t="s">
        <v>281</v>
      </c>
      <c r="S1341" s="132" t="s">
        <v>11</v>
      </c>
      <c r="T1341" s="134">
        <v>42393</v>
      </c>
      <c r="U1341" s="172">
        <f t="shared" si="70"/>
        <v>2016</v>
      </c>
      <c r="V1341" s="172">
        <f t="shared" si="71"/>
        <v>1</v>
      </c>
      <c r="W1341" s="44" t="s">
        <v>288</v>
      </c>
      <c r="X1341" t="s">
        <v>894</v>
      </c>
      <c r="Y1341">
        <v>1</v>
      </c>
      <c r="Z1341">
        <v>515</v>
      </c>
      <c r="AA1341" s="13">
        <f t="shared" si="69"/>
        <v>691000</v>
      </c>
      <c r="AE1341" s="43"/>
      <c r="AL1341" s="87" t="s">
        <v>819</v>
      </c>
      <c r="AM1341" s="86">
        <v>491350</v>
      </c>
    </row>
    <row r="1342" spans="13:39" hidden="1">
      <c r="M1342" s="131">
        <v>726126</v>
      </c>
      <c r="N1342" s="223">
        <v>474124</v>
      </c>
      <c r="O1342" s="132" t="s">
        <v>244</v>
      </c>
      <c r="P1342" s="132" t="s">
        <v>245</v>
      </c>
      <c r="Q1342" s="133">
        <v>23</v>
      </c>
      <c r="R1342" s="132" t="s">
        <v>281</v>
      </c>
      <c r="S1342" s="132" t="s">
        <v>11</v>
      </c>
      <c r="T1342" s="134">
        <v>41959</v>
      </c>
      <c r="U1342" s="172">
        <f t="shared" si="70"/>
        <v>2014</v>
      </c>
      <c r="V1342" s="172">
        <f t="shared" si="71"/>
        <v>11</v>
      </c>
      <c r="W1342" s="44" t="s">
        <v>301</v>
      </c>
      <c r="X1342" t="s">
        <v>894</v>
      </c>
      <c r="Y1342">
        <v>1</v>
      </c>
      <c r="AA1342" s="13">
        <f t="shared" si="69"/>
        <v>726126</v>
      </c>
      <c r="AE1342" s="43"/>
      <c r="AL1342" s="87" t="s">
        <v>819</v>
      </c>
      <c r="AM1342" s="86">
        <v>491350</v>
      </c>
    </row>
    <row r="1343" spans="13:39" hidden="1">
      <c r="M1343" s="131">
        <v>745139</v>
      </c>
      <c r="N1343" s="223">
        <v>524510</v>
      </c>
      <c r="O1343" s="132" t="s">
        <v>244</v>
      </c>
      <c r="P1343" s="132" t="s">
        <v>245</v>
      </c>
      <c r="Q1343" s="133">
        <v>44</v>
      </c>
      <c r="R1343" s="132" t="s">
        <v>281</v>
      </c>
      <c r="S1343" s="132" t="s">
        <v>11</v>
      </c>
      <c r="T1343" s="134">
        <v>41959</v>
      </c>
      <c r="U1343" s="172">
        <f t="shared" si="70"/>
        <v>2014</v>
      </c>
      <c r="V1343" s="172">
        <f t="shared" si="71"/>
        <v>11</v>
      </c>
      <c r="W1343" s="44" t="s">
        <v>301</v>
      </c>
      <c r="X1343" t="s">
        <v>894</v>
      </c>
      <c r="Y1343">
        <v>1</v>
      </c>
      <c r="AA1343" s="13">
        <f t="shared" si="69"/>
        <v>745139</v>
      </c>
      <c r="AE1343" s="43"/>
      <c r="AL1343" s="87" t="s">
        <v>819</v>
      </c>
      <c r="AM1343" s="86">
        <v>491350</v>
      </c>
    </row>
    <row r="1344" spans="13:39" hidden="1">
      <c r="M1344" s="131">
        <v>747330</v>
      </c>
      <c r="N1344" s="222">
        <v>379320</v>
      </c>
      <c r="O1344" s="132" t="s">
        <v>244</v>
      </c>
      <c r="P1344" s="132" t="s">
        <v>245</v>
      </c>
      <c r="Q1344" s="133">
        <v>22</v>
      </c>
      <c r="R1344" s="132" t="s">
        <v>281</v>
      </c>
      <c r="S1344" s="132" t="s">
        <v>11</v>
      </c>
      <c r="T1344" s="134">
        <v>41959</v>
      </c>
      <c r="U1344" s="172">
        <f t="shared" si="70"/>
        <v>2014</v>
      </c>
      <c r="V1344" s="172">
        <f t="shared" si="71"/>
        <v>11</v>
      </c>
      <c r="W1344" s="44" t="s">
        <v>301</v>
      </c>
      <c r="X1344" t="s">
        <v>894</v>
      </c>
      <c r="Y1344">
        <v>1</v>
      </c>
      <c r="AA1344" s="13">
        <f t="shared" si="69"/>
        <v>747330</v>
      </c>
      <c r="AE1344" s="43"/>
      <c r="AL1344" s="87" t="s">
        <v>819</v>
      </c>
      <c r="AM1344" s="86">
        <v>491350</v>
      </c>
    </row>
    <row r="1345" spans="13:39" hidden="1">
      <c r="M1345" s="131">
        <v>950260</v>
      </c>
      <c r="N1345" s="223">
        <v>6957375</v>
      </c>
      <c r="O1345" s="132" t="s">
        <v>248</v>
      </c>
      <c r="P1345" s="132" t="s">
        <v>245</v>
      </c>
      <c r="Q1345" s="133">
        <v>3</v>
      </c>
      <c r="R1345" s="132" t="s">
        <v>289</v>
      </c>
      <c r="S1345" s="132" t="s">
        <v>11</v>
      </c>
      <c r="T1345" s="134">
        <v>41644</v>
      </c>
      <c r="U1345" s="172">
        <f t="shared" si="70"/>
        <v>2014</v>
      </c>
      <c r="V1345" s="172">
        <f t="shared" si="71"/>
        <v>1</v>
      </c>
      <c r="W1345" s="44" t="s">
        <v>317</v>
      </c>
      <c r="X1345" t="s">
        <v>894</v>
      </c>
      <c r="Y1345">
        <v>36</v>
      </c>
      <c r="Z1345">
        <v>7405</v>
      </c>
      <c r="AA1345" s="13">
        <f t="shared" si="69"/>
        <v>950260</v>
      </c>
      <c r="AE1345" s="43"/>
      <c r="AL1345" s="87" t="s">
        <v>819</v>
      </c>
      <c r="AM1345" s="86">
        <v>491350</v>
      </c>
    </row>
    <row r="1346" spans="13:39" hidden="1">
      <c r="M1346" s="131">
        <v>1126000</v>
      </c>
      <c r="N1346" s="223">
        <v>5712597</v>
      </c>
      <c r="O1346" s="132" t="s">
        <v>294</v>
      </c>
      <c r="P1346" s="132" t="s">
        <v>245</v>
      </c>
      <c r="Q1346" s="133">
        <v>800</v>
      </c>
      <c r="R1346" s="132" t="s">
        <v>304</v>
      </c>
      <c r="S1346" s="132" t="s">
        <v>11</v>
      </c>
      <c r="T1346" s="134">
        <v>41939</v>
      </c>
      <c r="U1346" s="172">
        <f t="shared" si="70"/>
        <v>2014</v>
      </c>
      <c r="V1346" s="172">
        <f t="shared" si="71"/>
        <v>10</v>
      </c>
      <c r="W1346" s="44" t="s">
        <v>305</v>
      </c>
      <c r="X1346" t="s">
        <v>894</v>
      </c>
      <c r="Z1346">
        <v>5005</v>
      </c>
      <c r="AA1346" s="13">
        <f t="shared" si="69"/>
        <v>1126000</v>
      </c>
      <c r="AE1346" s="43"/>
      <c r="AL1346" s="87" t="s">
        <v>819</v>
      </c>
      <c r="AM1346" s="86">
        <v>491350</v>
      </c>
    </row>
    <row r="1347" spans="13:39" hidden="1">
      <c r="M1347" s="131">
        <v>1130100</v>
      </c>
      <c r="N1347" s="223">
        <v>1171833</v>
      </c>
      <c r="O1347" s="132" t="s">
        <v>248</v>
      </c>
      <c r="P1347" s="132" t="s">
        <v>245</v>
      </c>
      <c r="Q1347" s="133">
        <v>1</v>
      </c>
      <c r="R1347" s="132" t="s">
        <v>289</v>
      </c>
      <c r="S1347" s="132" t="s">
        <v>11</v>
      </c>
      <c r="T1347" s="134">
        <v>41721</v>
      </c>
      <c r="U1347" s="172">
        <f t="shared" si="70"/>
        <v>2014</v>
      </c>
      <c r="V1347" s="172">
        <f t="shared" si="71"/>
        <v>3</v>
      </c>
      <c r="W1347" s="44" t="s">
        <v>315</v>
      </c>
      <c r="X1347" t="s">
        <v>894</v>
      </c>
      <c r="Y1347">
        <v>4</v>
      </c>
      <c r="Z1347">
        <v>1230</v>
      </c>
      <c r="AA1347" s="13">
        <f t="shared" si="69"/>
        <v>1130100</v>
      </c>
      <c r="AE1347" s="43"/>
      <c r="AL1347" s="87" t="s">
        <v>819</v>
      </c>
      <c r="AM1347" s="86">
        <v>491350</v>
      </c>
    </row>
    <row r="1348" spans="13:39" hidden="1">
      <c r="M1348" s="131">
        <v>1178500</v>
      </c>
      <c r="N1348" s="223">
        <v>9362760</v>
      </c>
      <c r="O1348" s="132" t="s">
        <v>248</v>
      </c>
      <c r="P1348" s="132" t="s">
        <v>245</v>
      </c>
      <c r="Q1348" s="133">
        <v>35353</v>
      </c>
      <c r="R1348" s="132" t="s">
        <v>283</v>
      </c>
      <c r="S1348" s="132" t="s">
        <v>11</v>
      </c>
      <c r="T1348" s="134">
        <v>42109</v>
      </c>
      <c r="U1348" s="172">
        <f t="shared" si="70"/>
        <v>2015</v>
      </c>
      <c r="V1348" s="172">
        <f t="shared" si="71"/>
        <v>4</v>
      </c>
      <c r="W1348" s="44" t="s">
        <v>297</v>
      </c>
      <c r="X1348" t="s">
        <v>892</v>
      </c>
      <c r="Y1348">
        <v>24</v>
      </c>
      <c r="Z1348">
        <v>8726</v>
      </c>
      <c r="AA1348" s="13">
        <f t="shared" ref="AA1348:AA1411" si="72">IF(M1348&lt;30000,Y1348*100*M1348*(1-$L$1)-$L$2*Y1348,M1348)</f>
        <v>1178500</v>
      </c>
      <c r="AE1348" s="43"/>
      <c r="AL1348" s="87" t="s">
        <v>819</v>
      </c>
      <c r="AM1348" s="86">
        <v>491350</v>
      </c>
    </row>
    <row r="1349" spans="13:39" ht="30" hidden="1">
      <c r="M1349" s="131">
        <v>1800000</v>
      </c>
      <c r="N1349" s="223">
        <v>6045837</v>
      </c>
      <c r="O1349" s="132" t="s">
        <v>248</v>
      </c>
      <c r="P1349" s="132" t="s">
        <v>245</v>
      </c>
      <c r="Q1349" s="133">
        <v>24636</v>
      </c>
      <c r="R1349" s="132" t="s">
        <v>310</v>
      </c>
      <c r="S1349" s="132" t="s">
        <v>11</v>
      </c>
      <c r="T1349" s="134">
        <v>41826</v>
      </c>
      <c r="U1349" s="172">
        <f t="shared" si="70"/>
        <v>2014</v>
      </c>
      <c r="V1349" s="172">
        <f t="shared" si="71"/>
        <v>7</v>
      </c>
      <c r="W1349" s="44" t="s">
        <v>311</v>
      </c>
      <c r="X1349" t="s">
        <v>894</v>
      </c>
      <c r="Y1349">
        <v>30</v>
      </c>
      <c r="Z1349">
        <v>5854</v>
      </c>
      <c r="AA1349" s="13">
        <f t="shared" si="72"/>
        <v>1800000</v>
      </c>
      <c r="AE1349" s="43"/>
      <c r="AL1349" s="87" t="s">
        <v>819</v>
      </c>
      <c r="AM1349" s="86">
        <v>491350</v>
      </c>
    </row>
    <row r="1350" spans="13:39" ht="30" hidden="1">
      <c r="M1350" s="131">
        <v>1810000</v>
      </c>
      <c r="N1350" s="223">
        <v>6200260</v>
      </c>
      <c r="O1350" s="132" t="s">
        <v>248</v>
      </c>
      <c r="P1350" s="132" t="s">
        <v>245</v>
      </c>
      <c r="Q1350" s="133">
        <v>24637</v>
      </c>
      <c r="R1350" s="132" t="s">
        <v>310</v>
      </c>
      <c r="S1350" s="132" t="s">
        <v>11</v>
      </c>
      <c r="T1350" s="134">
        <v>41826</v>
      </c>
      <c r="U1350" s="172">
        <f t="shared" si="70"/>
        <v>2014</v>
      </c>
      <c r="V1350" s="172">
        <f t="shared" si="71"/>
        <v>7</v>
      </c>
      <c r="W1350" s="44" t="s">
        <v>311</v>
      </c>
      <c r="X1350" t="s">
        <v>894</v>
      </c>
      <c r="Y1350">
        <v>32</v>
      </c>
      <c r="Z1350">
        <v>5842</v>
      </c>
      <c r="AA1350" s="13">
        <f t="shared" si="72"/>
        <v>1810000</v>
      </c>
      <c r="AE1350" s="43"/>
      <c r="AL1350" s="87" t="s">
        <v>819</v>
      </c>
      <c r="AM1350" s="86">
        <v>491350</v>
      </c>
    </row>
    <row r="1351" spans="13:39" ht="30" hidden="1">
      <c r="M1351" s="131">
        <v>2305600</v>
      </c>
      <c r="N1351" s="223">
        <v>8989766</v>
      </c>
      <c r="O1351" s="132" t="s">
        <v>248</v>
      </c>
      <c r="P1351" s="132" t="s">
        <v>245</v>
      </c>
      <c r="Q1351" s="133">
        <v>24632</v>
      </c>
      <c r="R1351" s="132" t="s">
        <v>310</v>
      </c>
      <c r="S1351" s="132" t="s">
        <v>11</v>
      </c>
      <c r="T1351" s="134">
        <v>41826</v>
      </c>
      <c r="U1351" s="172">
        <f t="shared" ref="U1351:U1414" si="73">YEAR($T1351)</f>
        <v>2014</v>
      </c>
      <c r="V1351" s="172">
        <f t="shared" ref="V1351:V1414" si="74">MONTH($T1351)</f>
        <v>7</v>
      </c>
      <c r="W1351" s="44" t="s">
        <v>311</v>
      </c>
      <c r="X1351" t="s">
        <v>894</v>
      </c>
      <c r="Y1351">
        <v>44</v>
      </c>
      <c r="Z1351">
        <v>9932</v>
      </c>
      <c r="AA1351" s="13">
        <f t="shared" si="72"/>
        <v>2305600</v>
      </c>
      <c r="AE1351" s="43"/>
      <c r="AL1351" s="87" t="s">
        <v>819</v>
      </c>
      <c r="AM1351" s="86">
        <v>491350</v>
      </c>
    </row>
    <row r="1352" spans="13:39" ht="30" hidden="1">
      <c r="M1352" s="131">
        <v>2468000</v>
      </c>
      <c r="N1352" s="223">
        <v>3424159</v>
      </c>
      <c r="O1352" s="132" t="s">
        <v>248</v>
      </c>
      <c r="P1352" s="132" t="s">
        <v>245</v>
      </c>
      <c r="Q1352" s="133">
        <v>34854</v>
      </c>
      <c r="R1352" s="132" t="s">
        <v>302</v>
      </c>
      <c r="S1352" s="132" t="s">
        <v>11</v>
      </c>
      <c r="T1352" s="134">
        <v>41945</v>
      </c>
      <c r="U1352" s="172">
        <f t="shared" si="73"/>
        <v>2014</v>
      </c>
      <c r="V1352" s="172">
        <f t="shared" si="74"/>
        <v>11</v>
      </c>
      <c r="W1352" s="44" t="s">
        <v>303</v>
      </c>
      <c r="X1352" t="s">
        <v>892</v>
      </c>
      <c r="Y1352">
        <v>28</v>
      </c>
      <c r="Z1352">
        <v>2569</v>
      </c>
      <c r="AA1352" s="13">
        <f t="shared" si="72"/>
        <v>2468000</v>
      </c>
      <c r="AE1352" s="43"/>
      <c r="AL1352" s="87" t="s">
        <v>819</v>
      </c>
      <c r="AM1352" s="86">
        <v>491350</v>
      </c>
    </row>
    <row r="1353" spans="13:39" hidden="1">
      <c r="M1353" s="131">
        <v>2531487</v>
      </c>
      <c r="N1353" s="223">
        <v>5130876</v>
      </c>
      <c r="O1353" s="132" t="s">
        <v>248</v>
      </c>
      <c r="P1353" s="132" t="s">
        <v>245</v>
      </c>
      <c r="Q1353" s="133">
        <v>34855</v>
      </c>
      <c r="R1353" s="132" t="s">
        <v>306</v>
      </c>
      <c r="S1353" s="132" t="s">
        <v>11</v>
      </c>
      <c r="T1353" s="134">
        <v>41910</v>
      </c>
      <c r="U1353" s="172">
        <f t="shared" si="73"/>
        <v>2014</v>
      </c>
      <c r="V1353" s="172">
        <f t="shared" si="74"/>
        <v>9</v>
      </c>
      <c r="W1353" s="44" t="s">
        <v>307</v>
      </c>
      <c r="X1353" t="s">
        <v>892</v>
      </c>
      <c r="Y1353">
        <v>41</v>
      </c>
      <c r="Z1353">
        <v>3829</v>
      </c>
      <c r="AA1353" s="13">
        <f t="shared" si="72"/>
        <v>2531487</v>
      </c>
      <c r="AE1353" s="43"/>
      <c r="AL1353" s="87" t="s">
        <v>819</v>
      </c>
      <c r="AM1353" s="86">
        <v>491350</v>
      </c>
    </row>
    <row r="1354" spans="13:39" ht="30" hidden="1">
      <c r="M1354" s="131">
        <v>2675226</v>
      </c>
      <c r="N1354" s="223">
        <v>5169289</v>
      </c>
      <c r="O1354" s="132" t="s">
        <v>248</v>
      </c>
      <c r="P1354" s="132" t="s">
        <v>245</v>
      </c>
      <c r="Q1354" s="133">
        <v>34929</v>
      </c>
      <c r="R1354" s="132" t="s">
        <v>308</v>
      </c>
      <c r="S1354" s="132" t="s">
        <v>11</v>
      </c>
      <c r="T1354" s="134">
        <v>41910</v>
      </c>
      <c r="U1354" s="172">
        <f t="shared" si="73"/>
        <v>2014</v>
      </c>
      <c r="V1354" s="172">
        <f t="shared" si="74"/>
        <v>9</v>
      </c>
      <c r="W1354" s="44" t="s">
        <v>309</v>
      </c>
      <c r="X1354" t="s">
        <v>894</v>
      </c>
      <c r="Y1354">
        <v>44</v>
      </c>
      <c r="Z1354">
        <v>3217</v>
      </c>
      <c r="AA1354" s="13">
        <f t="shared" si="72"/>
        <v>2675226</v>
      </c>
      <c r="AE1354" s="43"/>
      <c r="AL1354" s="87" t="s">
        <v>819</v>
      </c>
      <c r="AM1354" s="86">
        <v>491845</v>
      </c>
    </row>
    <row r="1355" spans="13:39" ht="30" hidden="1">
      <c r="M1355" s="131">
        <v>2886389</v>
      </c>
      <c r="N1355" s="223">
        <v>4698611</v>
      </c>
      <c r="O1355" s="132" t="s">
        <v>248</v>
      </c>
      <c r="P1355" s="132" t="s">
        <v>245</v>
      </c>
      <c r="Q1355" s="133">
        <v>34927</v>
      </c>
      <c r="R1355" s="132" t="s">
        <v>308</v>
      </c>
      <c r="S1355" s="132" t="s">
        <v>11</v>
      </c>
      <c r="T1355" s="134">
        <v>41910</v>
      </c>
      <c r="U1355" s="172">
        <f t="shared" si="73"/>
        <v>2014</v>
      </c>
      <c r="V1355" s="172">
        <f t="shared" si="74"/>
        <v>9</v>
      </c>
      <c r="W1355" s="44" t="s">
        <v>309</v>
      </c>
      <c r="X1355" t="s">
        <v>894</v>
      </c>
      <c r="Y1355">
        <v>41</v>
      </c>
      <c r="Z1355">
        <v>3151</v>
      </c>
      <c r="AA1355" s="13">
        <f t="shared" si="72"/>
        <v>2886389</v>
      </c>
      <c r="AE1355" s="43"/>
      <c r="AL1355" s="87" t="s">
        <v>819</v>
      </c>
      <c r="AM1355" s="86">
        <v>491845</v>
      </c>
    </row>
    <row r="1356" spans="13:39" hidden="1">
      <c r="M1356" s="131">
        <v>2945000</v>
      </c>
      <c r="N1356" s="223">
        <v>7925872</v>
      </c>
      <c r="O1356" s="132" t="s">
        <v>248</v>
      </c>
      <c r="P1356" s="132" t="s">
        <v>245</v>
      </c>
      <c r="Q1356" s="133">
        <v>35351</v>
      </c>
      <c r="R1356" s="132" t="s">
        <v>292</v>
      </c>
      <c r="S1356" s="132" t="s">
        <v>11</v>
      </c>
      <c r="T1356" s="134">
        <v>42241</v>
      </c>
      <c r="U1356" s="172">
        <f t="shared" si="73"/>
        <v>2015</v>
      </c>
      <c r="V1356" s="172">
        <f t="shared" si="74"/>
        <v>8</v>
      </c>
      <c r="W1356" s="44" t="s">
        <v>293</v>
      </c>
      <c r="X1356" t="s">
        <v>892</v>
      </c>
      <c r="Y1356">
        <v>20</v>
      </c>
      <c r="Z1356">
        <v>7476</v>
      </c>
      <c r="AA1356" s="13">
        <f t="shared" si="72"/>
        <v>2945000</v>
      </c>
      <c r="AE1356" s="43"/>
      <c r="AL1356" s="87" t="s">
        <v>819</v>
      </c>
      <c r="AM1356" s="86">
        <v>491845</v>
      </c>
    </row>
    <row r="1357" spans="13:39" hidden="1">
      <c r="M1357" s="131">
        <v>3042255</v>
      </c>
      <c r="N1357" s="223">
        <v>11340839</v>
      </c>
      <c r="O1357" s="132" t="s">
        <v>248</v>
      </c>
      <c r="P1357" s="132" t="s">
        <v>245</v>
      </c>
      <c r="Q1357" s="133">
        <v>35352</v>
      </c>
      <c r="R1357" s="132" t="s">
        <v>283</v>
      </c>
      <c r="S1357" s="132" t="s">
        <v>11</v>
      </c>
      <c r="T1357" s="134">
        <v>42109</v>
      </c>
      <c r="U1357" s="172">
        <f t="shared" si="73"/>
        <v>2015</v>
      </c>
      <c r="V1357" s="172">
        <f t="shared" si="74"/>
        <v>4</v>
      </c>
      <c r="W1357" s="44" t="s">
        <v>297</v>
      </c>
      <c r="X1357" t="s">
        <v>892</v>
      </c>
      <c r="Y1357">
        <v>28</v>
      </c>
      <c r="Z1357">
        <v>11023</v>
      </c>
      <c r="AA1357" s="13">
        <f t="shared" si="72"/>
        <v>3042255</v>
      </c>
      <c r="AE1357" s="43"/>
      <c r="AL1357" s="87" t="s">
        <v>819</v>
      </c>
      <c r="AM1357" s="86">
        <v>491845</v>
      </c>
    </row>
    <row r="1358" spans="13:39" hidden="1">
      <c r="M1358" s="131">
        <v>3333260</v>
      </c>
      <c r="N1358" s="223">
        <v>6376077</v>
      </c>
      <c r="O1358" s="132" t="s">
        <v>248</v>
      </c>
      <c r="P1358" s="132" t="s">
        <v>245</v>
      </c>
      <c r="Q1358" s="133">
        <v>22</v>
      </c>
      <c r="R1358" s="132" t="s">
        <v>289</v>
      </c>
      <c r="S1358" s="132" t="s">
        <v>11</v>
      </c>
      <c r="T1358" s="134">
        <v>41770</v>
      </c>
      <c r="U1358" s="172">
        <f t="shared" si="73"/>
        <v>2014</v>
      </c>
      <c r="V1358" s="172">
        <f t="shared" si="74"/>
        <v>5</v>
      </c>
      <c r="W1358" s="44" t="s">
        <v>314</v>
      </c>
      <c r="X1358" t="s">
        <v>894</v>
      </c>
      <c r="Y1358">
        <v>28</v>
      </c>
      <c r="Z1358">
        <v>6576</v>
      </c>
      <c r="AA1358" s="13">
        <f t="shared" si="72"/>
        <v>3333260</v>
      </c>
      <c r="AE1358" s="43"/>
      <c r="AL1358" s="87" t="s">
        <v>819</v>
      </c>
      <c r="AM1358" s="86">
        <v>491845</v>
      </c>
    </row>
    <row r="1359" spans="13:39" ht="30" hidden="1">
      <c r="M1359" s="131">
        <v>3350000</v>
      </c>
      <c r="N1359" s="223">
        <v>2688725</v>
      </c>
      <c r="O1359" s="132" t="s">
        <v>248</v>
      </c>
      <c r="P1359" s="132" t="s">
        <v>245</v>
      </c>
      <c r="Q1359" s="133">
        <v>32375</v>
      </c>
      <c r="R1359" s="132" t="s">
        <v>302</v>
      </c>
      <c r="S1359" s="132" t="s">
        <v>11</v>
      </c>
      <c r="T1359" s="134">
        <v>41798</v>
      </c>
      <c r="U1359" s="172">
        <f t="shared" si="73"/>
        <v>2014</v>
      </c>
      <c r="V1359" s="172">
        <f t="shared" si="74"/>
        <v>6</v>
      </c>
      <c r="W1359" s="44" t="s">
        <v>313</v>
      </c>
      <c r="X1359" t="s">
        <v>892</v>
      </c>
      <c r="Y1359">
        <v>24</v>
      </c>
      <c r="Z1359">
        <v>2287</v>
      </c>
      <c r="AA1359" s="13">
        <f t="shared" si="72"/>
        <v>3350000</v>
      </c>
      <c r="AE1359" s="43"/>
      <c r="AL1359" s="87" t="s">
        <v>819</v>
      </c>
      <c r="AM1359" s="86">
        <v>491845</v>
      </c>
    </row>
    <row r="1360" spans="13:39" ht="30" hidden="1">
      <c r="M1360" s="131">
        <v>3600000</v>
      </c>
      <c r="N1360" s="223">
        <v>3220963</v>
      </c>
      <c r="O1360" s="132" t="s">
        <v>248</v>
      </c>
      <c r="P1360" s="132" t="s">
        <v>245</v>
      </c>
      <c r="Q1360" s="133">
        <v>34852</v>
      </c>
      <c r="R1360" s="132" t="s">
        <v>302</v>
      </c>
      <c r="S1360" s="132" t="s">
        <v>11</v>
      </c>
      <c r="T1360" s="134">
        <v>41945</v>
      </c>
      <c r="U1360" s="172">
        <f t="shared" si="73"/>
        <v>2014</v>
      </c>
      <c r="V1360" s="172">
        <f t="shared" si="74"/>
        <v>11</v>
      </c>
      <c r="W1360" s="44" t="s">
        <v>303</v>
      </c>
      <c r="X1360" t="s">
        <v>892</v>
      </c>
      <c r="Y1360">
        <v>25</v>
      </c>
      <c r="Z1360">
        <v>2943</v>
      </c>
      <c r="AA1360" s="13">
        <f t="shared" si="72"/>
        <v>3600000</v>
      </c>
      <c r="AE1360" s="43"/>
      <c r="AL1360" s="87" t="s">
        <v>819</v>
      </c>
      <c r="AM1360" s="86">
        <v>491845</v>
      </c>
    </row>
    <row r="1361" spans="13:39" ht="30" hidden="1">
      <c r="M1361" s="131">
        <v>3600048</v>
      </c>
      <c r="N1361" s="223">
        <v>4189952</v>
      </c>
      <c r="O1361" s="132" t="s">
        <v>248</v>
      </c>
      <c r="P1361" s="132" t="s">
        <v>245</v>
      </c>
      <c r="Q1361" s="133">
        <v>34251</v>
      </c>
      <c r="R1361" s="132" t="s">
        <v>310</v>
      </c>
      <c r="S1361" s="132" t="s">
        <v>11</v>
      </c>
      <c r="T1361" s="134">
        <v>41826</v>
      </c>
      <c r="U1361" s="172">
        <f t="shared" si="73"/>
        <v>2014</v>
      </c>
      <c r="V1361" s="172">
        <f t="shared" si="74"/>
        <v>7</v>
      </c>
      <c r="W1361" s="44" t="s">
        <v>311</v>
      </c>
      <c r="X1361" t="s">
        <v>894</v>
      </c>
      <c r="Y1361">
        <v>38</v>
      </c>
      <c r="Z1361">
        <v>2602</v>
      </c>
      <c r="AA1361" s="13">
        <f t="shared" si="72"/>
        <v>3600048</v>
      </c>
      <c r="AE1361" s="43"/>
      <c r="AL1361" s="87" t="s">
        <v>819</v>
      </c>
      <c r="AM1361" s="86">
        <v>491845</v>
      </c>
    </row>
    <row r="1362" spans="13:39" hidden="1">
      <c r="M1362" s="131">
        <v>3920000</v>
      </c>
      <c r="N1362" s="223">
        <v>5454929</v>
      </c>
      <c r="O1362" s="132" t="s">
        <v>248</v>
      </c>
      <c r="P1362" s="132" t="s">
        <v>245</v>
      </c>
      <c r="Q1362" s="133">
        <v>5</v>
      </c>
      <c r="R1362" s="132" t="s">
        <v>289</v>
      </c>
      <c r="S1362" s="132" t="s">
        <v>11</v>
      </c>
      <c r="T1362" s="134">
        <v>41644</v>
      </c>
      <c r="U1362" s="172">
        <f t="shared" si="73"/>
        <v>2014</v>
      </c>
      <c r="V1362" s="172">
        <f t="shared" si="74"/>
        <v>1</v>
      </c>
      <c r="W1362" s="44" t="s">
        <v>317</v>
      </c>
      <c r="X1362" t="s">
        <v>894</v>
      </c>
      <c r="Y1362">
        <v>18</v>
      </c>
      <c r="Z1362">
        <v>5995</v>
      </c>
      <c r="AA1362" s="13">
        <f t="shared" si="72"/>
        <v>3920000</v>
      </c>
      <c r="AE1362" s="43"/>
      <c r="AL1362" s="87" t="s">
        <v>819</v>
      </c>
      <c r="AM1362" s="86">
        <v>491845</v>
      </c>
    </row>
    <row r="1363" spans="13:39" hidden="1">
      <c r="M1363" s="131">
        <v>4100000</v>
      </c>
      <c r="N1363" s="223">
        <v>11832090</v>
      </c>
      <c r="O1363" s="132" t="s">
        <v>248</v>
      </c>
      <c r="P1363" s="132" t="s">
        <v>245</v>
      </c>
      <c r="Q1363" s="133">
        <v>32720</v>
      </c>
      <c r="R1363" s="132" t="s">
        <v>283</v>
      </c>
      <c r="S1363" s="132" t="s">
        <v>11</v>
      </c>
      <c r="T1363" s="134">
        <v>42493</v>
      </c>
      <c r="U1363" s="172">
        <f t="shared" si="73"/>
        <v>2016</v>
      </c>
      <c r="V1363" s="172">
        <f t="shared" si="74"/>
        <v>5</v>
      </c>
      <c r="W1363" s="44" t="s">
        <v>284</v>
      </c>
      <c r="X1363" t="s">
        <v>892</v>
      </c>
      <c r="Y1363">
        <v>30</v>
      </c>
      <c r="Z1363">
        <v>7822</v>
      </c>
      <c r="AA1363" s="13">
        <f t="shared" si="72"/>
        <v>4100000</v>
      </c>
      <c r="AE1363" s="43"/>
      <c r="AL1363" s="87" t="s">
        <v>819</v>
      </c>
      <c r="AM1363" s="86">
        <v>491845</v>
      </c>
    </row>
    <row r="1364" spans="13:39" ht="30" hidden="1">
      <c r="M1364" s="131">
        <v>4155000</v>
      </c>
      <c r="N1364" s="223">
        <v>2747320</v>
      </c>
      <c r="O1364" s="132" t="s">
        <v>248</v>
      </c>
      <c r="P1364" s="132" t="s">
        <v>245</v>
      </c>
      <c r="Q1364" s="133">
        <v>24491</v>
      </c>
      <c r="R1364" s="132" t="s">
        <v>308</v>
      </c>
      <c r="S1364" s="132" t="s">
        <v>11</v>
      </c>
      <c r="T1364" s="134">
        <v>41910</v>
      </c>
      <c r="U1364" s="172">
        <f t="shared" si="73"/>
        <v>2014</v>
      </c>
      <c r="V1364" s="172">
        <f t="shared" si="74"/>
        <v>9</v>
      </c>
      <c r="W1364" s="44" t="s">
        <v>309</v>
      </c>
      <c r="X1364" t="s">
        <v>894</v>
      </c>
      <c r="Y1364">
        <v>25</v>
      </c>
      <c r="Z1364">
        <v>1758</v>
      </c>
      <c r="AA1364" s="13">
        <f t="shared" si="72"/>
        <v>4155000</v>
      </c>
      <c r="AE1364" s="43"/>
      <c r="AL1364" s="87" t="s">
        <v>819</v>
      </c>
      <c r="AM1364" s="86">
        <v>491845</v>
      </c>
    </row>
    <row r="1365" spans="13:39" hidden="1">
      <c r="M1365" s="131">
        <v>4182298</v>
      </c>
      <c r="N1365" s="223">
        <v>10468916</v>
      </c>
      <c r="O1365" s="132" t="s">
        <v>285</v>
      </c>
      <c r="P1365" s="132" t="s">
        <v>245</v>
      </c>
      <c r="Q1365" s="133">
        <v>132</v>
      </c>
      <c r="R1365" s="132" t="s">
        <v>286</v>
      </c>
      <c r="S1365" s="132" t="s">
        <v>11</v>
      </c>
      <c r="T1365" s="134">
        <v>42493</v>
      </c>
      <c r="U1365" s="172">
        <f t="shared" si="73"/>
        <v>2016</v>
      </c>
      <c r="V1365" s="172">
        <f t="shared" si="74"/>
        <v>5</v>
      </c>
      <c r="W1365" s="44" t="s">
        <v>287</v>
      </c>
      <c r="X1365" t="s">
        <v>894</v>
      </c>
      <c r="Z1365">
        <v>41413</v>
      </c>
      <c r="AA1365" s="13">
        <f t="shared" si="72"/>
        <v>4182298</v>
      </c>
      <c r="AE1365" s="43"/>
      <c r="AL1365" s="87" t="s">
        <v>819</v>
      </c>
      <c r="AM1365" s="86">
        <v>491845</v>
      </c>
    </row>
    <row r="1366" spans="13:39" hidden="1">
      <c r="M1366" s="131">
        <v>4398048</v>
      </c>
      <c r="N1366" s="223">
        <v>3770313</v>
      </c>
      <c r="O1366" s="132" t="s">
        <v>248</v>
      </c>
      <c r="P1366" s="132" t="s">
        <v>245</v>
      </c>
      <c r="Q1366" s="133">
        <v>1</v>
      </c>
      <c r="R1366" s="132" t="s">
        <v>289</v>
      </c>
      <c r="S1366" s="132" t="s">
        <v>11</v>
      </c>
      <c r="T1366" s="134">
        <v>41644</v>
      </c>
      <c r="U1366" s="172">
        <f t="shared" si="73"/>
        <v>2014</v>
      </c>
      <c r="V1366" s="172">
        <f t="shared" si="74"/>
        <v>1</v>
      </c>
      <c r="W1366" s="44" t="s">
        <v>317</v>
      </c>
      <c r="X1366" t="s">
        <v>894</v>
      </c>
      <c r="Y1366">
        <v>16</v>
      </c>
      <c r="Z1366">
        <v>4025</v>
      </c>
      <c r="AA1366" s="13">
        <f t="shared" si="72"/>
        <v>4398048</v>
      </c>
      <c r="AE1366" s="43"/>
      <c r="AL1366" s="87" t="s">
        <v>819</v>
      </c>
      <c r="AM1366" s="86">
        <v>491845</v>
      </c>
    </row>
    <row r="1367" spans="13:39" ht="30" hidden="1">
      <c r="M1367" s="131">
        <v>4420000</v>
      </c>
      <c r="N1367" s="223">
        <v>7197526</v>
      </c>
      <c r="O1367" s="132" t="s">
        <v>248</v>
      </c>
      <c r="P1367" s="132" t="s">
        <v>245</v>
      </c>
      <c r="Q1367" s="133">
        <v>24625</v>
      </c>
      <c r="R1367" s="132" t="s">
        <v>310</v>
      </c>
      <c r="S1367" s="132" t="s">
        <v>11</v>
      </c>
      <c r="T1367" s="134">
        <v>41826</v>
      </c>
      <c r="U1367" s="172">
        <f t="shared" si="73"/>
        <v>2014</v>
      </c>
      <c r="V1367" s="172">
        <f t="shared" si="74"/>
        <v>7</v>
      </c>
      <c r="W1367" s="44" t="s">
        <v>311</v>
      </c>
      <c r="X1367" t="s">
        <v>894</v>
      </c>
      <c r="Y1367">
        <v>68</v>
      </c>
      <c r="Z1367">
        <v>4048</v>
      </c>
      <c r="AA1367" s="13">
        <f t="shared" si="72"/>
        <v>4420000</v>
      </c>
      <c r="AE1367" s="43"/>
      <c r="AL1367" s="87" t="s">
        <v>819</v>
      </c>
      <c r="AM1367" s="86">
        <v>491845</v>
      </c>
    </row>
    <row r="1368" spans="13:39" ht="30" hidden="1">
      <c r="M1368" s="131">
        <v>4540126</v>
      </c>
      <c r="N1368" s="223">
        <v>4966475</v>
      </c>
      <c r="O1368" s="132" t="s">
        <v>248</v>
      </c>
      <c r="P1368" s="132" t="s">
        <v>245</v>
      </c>
      <c r="Q1368" s="133">
        <v>24487</v>
      </c>
      <c r="R1368" s="132" t="s">
        <v>308</v>
      </c>
      <c r="S1368" s="132" t="s">
        <v>11</v>
      </c>
      <c r="T1368" s="134">
        <v>41910</v>
      </c>
      <c r="U1368" s="172">
        <f t="shared" si="73"/>
        <v>2014</v>
      </c>
      <c r="V1368" s="172">
        <f t="shared" si="74"/>
        <v>9</v>
      </c>
      <c r="W1368" s="44" t="s">
        <v>309</v>
      </c>
      <c r="X1368" t="s">
        <v>894</v>
      </c>
      <c r="Y1368">
        <v>50</v>
      </c>
      <c r="Z1368">
        <v>2501</v>
      </c>
      <c r="AA1368" s="13">
        <f t="shared" si="72"/>
        <v>4540126</v>
      </c>
      <c r="AE1368" s="43"/>
      <c r="AL1368" s="87" t="s">
        <v>819</v>
      </c>
      <c r="AM1368" s="86">
        <v>491845</v>
      </c>
    </row>
    <row r="1369" spans="13:39" ht="30" hidden="1">
      <c r="M1369" s="131">
        <v>4681274</v>
      </c>
      <c r="N1369" s="223">
        <v>7109886</v>
      </c>
      <c r="O1369" s="132" t="s">
        <v>248</v>
      </c>
      <c r="P1369" s="132" t="s">
        <v>245</v>
      </c>
      <c r="Q1369" s="133">
        <v>34853</v>
      </c>
      <c r="R1369" s="132" t="s">
        <v>302</v>
      </c>
      <c r="S1369" s="132" t="s">
        <v>11</v>
      </c>
      <c r="T1369" s="134">
        <v>41945</v>
      </c>
      <c r="U1369" s="172">
        <f t="shared" si="73"/>
        <v>2014</v>
      </c>
      <c r="V1369" s="172">
        <f t="shared" si="74"/>
        <v>11</v>
      </c>
      <c r="W1369" s="44" t="s">
        <v>303</v>
      </c>
      <c r="X1369" t="s">
        <v>892</v>
      </c>
      <c r="Y1369">
        <v>62</v>
      </c>
      <c r="Z1369">
        <v>5005</v>
      </c>
      <c r="AA1369" s="13">
        <f t="shared" si="72"/>
        <v>4681274</v>
      </c>
      <c r="AE1369" s="43"/>
      <c r="AL1369" s="87" t="s">
        <v>819</v>
      </c>
      <c r="AM1369" s="86">
        <v>491845</v>
      </c>
    </row>
    <row r="1370" spans="13:39" hidden="1">
      <c r="M1370" s="131">
        <v>4853000</v>
      </c>
      <c r="N1370" s="223">
        <v>5470254</v>
      </c>
      <c r="O1370" s="132" t="s">
        <v>248</v>
      </c>
      <c r="P1370" s="132" t="s">
        <v>245</v>
      </c>
      <c r="Q1370" s="133">
        <v>34857</v>
      </c>
      <c r="R1370" s="132" t="s">
        <v>306</v>
      </c>
      <c r="S1370" s="132" t="s">
        <v>11</v>
      </c>
      <c r="T1370" s="134">
        <v>41910</v>
      </c>
      <c r="U1370" s="172">
        <f t="shared" si="73"/>
        <v>2014</v>
      </c>
      <c r="V1370" s="172">
        <f t="shared" si="74"/>
        <v>9</v>
      </c>
      <c r="W1370" s="44" t="s">
        <v>307</v>
      </c>
      <c r="X1370" t="s">
        <v>892</v>
      </c>
      <c r="Y1370">
        <v>37</v>
      </c>
      <c r="Z1370">
        <v>5336</v>
      </c>
      <c r="AA1370" s="13">
        <f t="shared" si="72"/>
        <v>4853000</v>
      </c>
      <c r="AE1370" s="43"/>
      <c r="AL1370" s="87" t="s">
        <v>819</v>
      </c>
      <c r="AM1370" s="86">
        <v>491845</v>
      </c>
    </row>
    <row r="1371" spans="13:39" hidden="1">
      <c r="M1371" s="131">
        <v>4875065</v>
      </c>
      <c r="N1371" s="223">
        <v>11268272</v>
      </c>
      <c r="O1371" s="132" t="s">
        <v>248</v>
      </c>
      <c r="P1371" s="132" t="s">
        <v>245</v>
      </c>
      <c r="Q1371" s="133">
        <v>32692</v>
      </c>
      <c r="R1371" s="132" t="s">
        <v>283</v>
      </c>
      <c r="S1371" s="132" t="s">
        <v>11</v>
      </c>
      <c r="T1371" s="134">
        <v>42493</v>
      </c>
      <c r="U1371" s="172">
        <f t="shared" si="73"/>
        <v>2016</v>
      </c>
      <c r="V1371" s="172">
        <f t="shared" si="74"/>
        <v>5</v>
      </c>
      <c r="W1371" s="44" t="s">
        <v>284</v>
      </c>
      <c r="X1371" t="s">
        <v>892</v>
      </c>
      <c r="Y1371">
        <v>26</v>
      </c>
      <c r="Z1371">
        <v>8562</v>
      </c>
      <c r="AA1371" s="13">
        <f t="shared" si="72"/>
        <v>4875065</v>
      </c>
      <c r="AE1371" s="43"/>
      <c r="AL1371" s="87" t="s">
        <v>819</v>
      </c>
      <c r="AM1371" s="86">
        <v>491845</v>
      </c>
    </row>
    <row r="1372" spans="13:39" hidden="1">
      <c r="M1372" s="131">
        <v>5013113</v>
      </c>
      <c r="N1372" s="223">
        <v>11139033</v>
      </c>
      <c r="O1372" s="132" t="s">
        <v>248</v>
      </c>
      <c r="P1372" s="132" t="s">
        <v>245</v>
      </c>
      <c r="Q1372" s="133">
        <v>6</v>
      </c>
      <c r="R1372" s="132" t="s">
        <v>289</v>
      </c>
      <c r="S1372" s="132" t="s">
        <v>11</v>
      </c>
      <c r="T1372" s="134">
        <v>41644</v>
      </c>
      <c r="U1372" s="172">
        <f t="shared" si="73"/>
        <v>2014</v>
      </c>
      <c r="V1372" s="172">
        <f t="shared" si="74"/>
        <v>1</v>
      </c>
      <c r="W1372" s="44" t="s">
        <v>317</v>
      </c>
      <c r="X1372" t="s">
        <v>894</v>
      </c>
      <c r="Y1372">
        <v>38</v>
      </c>
      <c r="Z1372">
        <v>11802</v>
      </c>
      <c r="AA1372" s="13">
        <f t="shared" si="72"/>
        <v>5013113</v>
      </c>
      <c r="AE1372" s="43"/>
      <c r="AL1372" s="87" t="s">
        <v>819</v>
      </c>
      <c r="AM1372" s="86">
        <v>491845</v>
      </c>
    </row>
    <row r="1373" spans="13:39" ht="30" hidden="1">
      <c r="M1373" s="131">
        <v>5072000</v>
      </c>
      <c r="N1373" s="223">
        <v>5248785</v>
      </c>
      <c r="O1373" s="132" t="s">
        <v>248</v>
      </c>
      <c r="P1373" s="132" t="s">
        <v>245</v>
      </c>
      <c r="Q1373" s="133">
        <v>24488</v>
      </c>
      <c r="R1373" s="132" t="s">
        <v>308</v>
      </c>
      <c r="S1373" s="132" t="s">
        <v>11</v>
      </c>
      <c r="T1373" s="134">
        <v>41910</v>
      </c>
      <c r="U1373" s="172">
        <f t="shared" si="73"/>
        <v>2014</v>
      </c>
      <c r="V1373" s="172">
        <f t="shared" si="74"/>
        <v>9</v>
      </c>
      <c r="W1373" s="44" t="s">
        <v>309</v>
      </c>
      <c r="X1373" t="s">
        <v>894</v>
      </c>
      <c r="Y1373">
        <v>48</v>
      </c>
      <c r="Z1373">
        <v>3203</v>
      </c>
      <c r="AA1373" s="13">
        <f t="shared" si="72"/>
        <v>5072000</v>
      </c>
      <c r="AE1373" s="43"/>
      <c r="AL1373" s="87" t="s">
        <v>819</v>
      </c>
      <c r="AM1373" s="86">
        <v>491890</v>
      </c>
    </row>
    <row r="1374" spans="13:39" ht="30" hidden="1">
      <c r="M1374" s="131">
        <v>5108000</v>
      </c>
      <c r="N1374" s="223">
        <v>3807295</v>
      </c>
      <c r="O1374" s="132" t="s">
        <v>248</v>
      </c>
      <c r="P1374" s="132" t="s">
        <v>245</v>
      </c>
      <c r="Q1374" s="133">
        <v>10287</v>
      </c>
      <c r="R1374" s="132" t="s">
        <v>302</v>
      </c>
      <c r="S1374" s="132" t="s">
        <v>11</v>
      </c>
      <c r="T1374" s="134">
        <v>41798</v>
      </c>
      <c r="U1374" s="172">
        <f t="shared" si="73"/>
        <v>2014</v>
      </c>
      <c r="V1374" s="172">
        <f t="shared" si="74"/>
        <v>6</v>
      </c>
      <c r="W1374" s="44" t="s">
        <v>313</v>
      </c>
      <c r="X1374" t="s">
        <v>892</v>
      </c>
      <c r="Y1374">
        <v>35</v>
      </c>
      <c r="Z1374">
        <v>3321</v>
      </c>
      <c r="AA1374" s="13">
        <f t="shared" si="72"/>
        <v>5108000</v>
      </c>
      <c r="AE1374" s="43"/>
      <c r="AL1374" s="87" t="s">
        <v>819</v>
      </c>
      <c r="AM1374" s="86">
        <v>492342</v>
      </c>
    </row>
    <row r="1375" spans="13:39" ht="30" hidden="1">
      <c r="M1375" s="131">
        <v>5760289</v>
      </c>
      <c r="N1375" s="223">
        <v>4704711</v>
      </c>
      <c r="O1375" s="132" t="s">
        <v>248</v>
      </c>
      <c r="P1375" s="132" t="s">
        <v>245</v>
      </c>
      <c r="Q1375" s="133">
        <v>10286</v>
      </c>
      <c r="R1375" s="132" t="s">
        <v>302</v>
      </c>
      <c r="S1375" s="132" t="s">
        <v>11</v>
      </c>
      <c r="T1375" s="134">
        <v>41798</v>
      </c>
      <c r="U1375" s="172">
        <f t="shared" si="73"/>
        <v>2014</v>
      </c>
      <c r="V1375" s="172">
        <f t="shared" si="74"/>
        <v>6</v>
      </c>
      <c r="W1375" s="44" t="s">
        <v>313</v>
      </c>
      <c r="X1375" t="s">
        <v>892</v>
      </c>
      <c r="Y1375">
        <v>43</v>
      </c>
      <c r="Z1375">
        <v>4157</v>
      </c>
      <c r="AA1375" s="13">
        <f t="shared" si="72"/>
        <v>5760289</v>
      </c>
      <c r="AE1375" s="43"/>
      <c r="AL1375" s="87" t="s">
        <v>819</v>
      </c>
      <c r="AM1375" s="86">
        <v>492342</v>
      </c>
    </row>
    <row r="1376" spans="13:39" ht="30" hidden="1">
      <c r="M1376" s="131">
        <v>5880880</v>
      </c>
      <c r="N1376" s="223">
        <v>7627539</v>
      </c>
      <c r="O1376" s="132" t="s">
        <v>248</v>
      </c>
      <c r="P1376" s="132" t="s">
        <v>245</v>
      </c>
      <c r="Q1376" s="133">
        <v>10289</v>
      </c>
      <c r="R1376" s="132" t="s">
        <v>302</v>
      </c>
      <c r="S1376" s="132" t="s">
        <v>11</v>
      </c>
      <c r="T1376" s="134">
        <v>41945</v>
      </c>
      <c r="U1376" s="172">
        <f t="shared" si="73"/>
        <v>2014</v>
      </c>
      <c r="V1376" s="172">
        <f t="shared" si="74"/>
        <v>11</v>
      </c>
      <c r="W1376" s="44" t="s">
        <v>303</v>
      </c>
      <c r="X1376" t="s">
        <v>892</v>
      </c>
      <c r="Y1376">
        <v>53</v>
      </c>
      <c r="Z1376">
        <v>7380</v>
      </c>
      <c r="AA1376" s="13">
        <f t="shared" si="72"/>
        <v>5880880</v>
      </c>
      <c r="AE1376" s="43"/>
      <c r="AL1376" s="87" t="s">
        <v>819</v>
      </c>
      <c r="AM1376" s="86">
        <v>492342</v>
      </c>
    </row>
    <row r="1377" spans="13:39" ht="30" hidden="1">
      <c r="M1377" s="131">
        <v>6060000</v>
      </c>
      <c r="N1377" s="223">
        <v>9776708</v>
      </c>
      <c r="O1377" s="132" t="s">
        <v>248</v>
      </c>
      <c r="P1377" s="132" t="s">
        <v>245</v>
      </c>
      <c r="Q1377" s="133">
        <v>34928</v>
      </c>
      <c r="R1377" s="132" t="s">
        <v>308</v>
      </c>
      <c r="S1377" s="132" t="s">
        <v>11</v>
      </c>
      <c r="T1377" s="134">
        <v>41910</v>
      </c>
      <c r="U1377" s="172">
        <f t="shared" si="73"/>
        <v>2014</v>
      </c>
      <c r="V1377" s="172">
        <f t="shared" si="74"/>
        <v>9</v>
      </c>
      <c r="W1377" s="44" t="s">
        <v>309</v>
      </c>
      <c r="X1377" t="s">
        <v>894</v>
      </c>
      <c r="Y1377">
        <v>88</v>
      </c>
      <c r="Z1377">
        <v>5411</v>
      </c>
      <c r="AA1377" s="13">
        <f t="shared" si="72"/>
        <v>6060000</v>
      </c>
      <c r="AE1377" s="43"/>
      <c r="AL1377" s="87" t="s">
        <v>819</v>
      </c>
      <c r="AM1377" s="86">
        <v>492342</v>
      </c>
    </row>
    <row r="1378" spans="13:39" hidden="1">
      <c r="M1378" s="131">
        <v>6255555</v>
      </c>
      <c r="N1378" s="223">
        <v>2187603</v>
      </c>
      <c r="O1378" s="132" t="s">
        <v>294</v>
      </c>
      <c r="P1378" s="132" t="s">
        <v>245</v>
      </c>
      <c r="Q1378" s="133">
        <v>902</v>
      </c>
      <c r="R1378" s="132" t="s">
        <v>295</v>
      </c>
      <c r="S1378" s="132" t="s">
        <v>11</v>
      </c>
      <c r="T1378" s="134">
        <v>42204</v>
      </c>
      <c r="U1378" s="172">
        <f t="shared" si="73"/>
        <v>2015</v>
      </c>
      <c r="V1378" s="172">
        <f t="shared" si="74"/>
        <v>7</v>
      </c>
      <c r="W1378" s="44" t="s">
        <v>296</v>
      </c>
      <c r="X1378" t="s">
        <v>894</v>
      </c>
      <c r="Z1378">
        <v>5736</v>
      </c>
      <c r="AA1378" s="13">
        <f t="shared" si="72"/>
        <v>6255555</v>
      </c>
      <c r="AE1378" s="43"/>
      <c r="AL1378" s="87" t="s">
        <v>819</v>
      </c>
      <c r="AM1378" s="86">
        <v>492342</v>
      </c>
    </row>
    <row r="1379" spans="13:39" ht="30" hidden="1">
      <c r="M1379" s="131">
        <v>6455000</v>
      </c>
      <c r="N1379" s="223">
        <v>4102864</v>
      </c>
      <c r="O1379" s="132" t="s">
        <v>248</v>
      </c>
      <c r="P1379" s="132" t="s">
        <v>245</v>
      </c>
      <c r="Q1379" s="133">
        <v>10288</v>
      </c>
      <c r="R1379" s="132" t="s">
        <v>302</v>
      </c>
      <c r="S1379" s="132" t="s">
        <v>11</v>
      </c>
      <c r="T1379" s="134">
        <v>41945</v>
      </c>
      <c r="U1379" s="172">
        <f t="shared" si="73"/>
        <v>2014</v>
      </c>
      <c r="V1379" s="172">
        <f t="shared" si="74"/>
        <v>11</v>
      </c>
      <c r="W1379" s="44" t="s">
        <v>303</v>
      </c>
      <c r="X1379" t="s">
        <v>892</v>
      </c>
      <c r="Y1379">
        <v>37</v>
      </c>
      <c r="Z1379">
        <v>3158</v>
      </c>
      <c r="AA1379" s="13">
        <f t="shared" si="72"/>
        <v>6455000</v>
      </c>
      <c r="AE1379" s="43"/>
      <c r="AL1379" s="87" t="s">
        <v>819</v>
      </c>
      <c r="AM1379" s="86">
        <v>492342</v>
      </c>
    </row>
    <row r="1380" spans="13:39" hidden="1">
      <c r="M1380" s="131">
        <v>7255505</v>
      </c>
      <c r="N1380" s="223">
        <v>7007169</v>
      </c>
      <c r="O1380" s="132" t="s">
        <v>248</v>
      </c>
      <c r="P1380" s="132" t="s">
        <v>245</v>
      </c>
      <c r="Q1380" s="133">
        <v>34861</v>
      </c>
      <c r="R1380" s="132" t="s">
        <v>306</v>
      </c>
      <c r="S1380" s="132" t="s">
        <v>11</v>
      </c>
      <c r="T1380" s="134">
        <v>41910</v>
      </c>
      <c r="U1380" s="172">
        <f t="shared" si="73"/>
        <v>2014</v>
      </c>
      <c r="V1380" s="172">
        <f t="shared" si="74"/>
        <v>9</v>
      </c>
      <c r="W1380" s="44" t="s">
        <v>307</v>
      </c>
      <c r="X1380" t="s">
        <v>892</v>
      </c>
      <c r="Y1380">
        <v>72</v>
      </c>
      <c r="Z1380">
        <v>2219</v>
      </c>
      <c r="AA1380" s="13">
        <f t="shared" si="72"/>
        <v>7255505</v>
      </c>
      <c r="AE1380" s="43"/>
      <c r="AL1380" s="87" t="s">
        <v>819</v>
      </c>
      <c r="AM1380" s="86">
        <v>492342</v>
      </c>
    </row>
    <row r="1381" spans="13:39" hidden="1">
      <c r="M1381" s="131">
        <v>7699242</v>
      </c>
      <c r="N1381" s="223">
        <v>7522895</v>
      </c>
      <c r="O1381" s="132" t="s">
        <v>248</v>
      </c>
      <c r="P1381" s="132" t="s">
        <v>245</v>
      </c>
      <c r="Q1381" s="133">
        <v>25</v>
      </c>
      <c r="R1381" s="132" t="s">
        <v>299</v>
      </c>
      <c r="S1381" s="132" t="s">
        <v>11</v>
      </c>
      <c r="T1381" s="134">
        <v>42002</v>
      </c>
      <c r="U1381" s="172">
        <f t="shared" si="73"/>
        <v>2014</v>
      </c>
      <c r="V1381" s="172">
        <f t="shared" si="74"/>
        <v>12</v>
      </c>
      <c r="W1381" s="44" t="s">
        <v>300</v>
      </c>
      <c r="X1381" t="s">
        <v>894</v>
      </c>
      <c r="Y1381">
        <v>32</v>
      </c>
      <c r="Z1381">
        <v>7845</v>
      </c>
      <c r="AA1381" s="13">
        <f t="shared" si="72"/>
        <v>7699242</v>
      </c>
      <c r="AE1381" s="43"/>
      <c r="AL1381" s="87" t="s">
        <v>819</v>
      </c>
      <c r="AM1381" s="86">
        <v>492342</v>
      </c>
    </row>
    <row r="1382" spans="13:39" hidden="1">
      <c r="M1382" s="131">
        <v>8001013</v>
      </c>
      <c r="N1382" s="223">
        <v>16100268</v>
      </c>
      <c r="O1382" s="132" t="s">
        <v>248</v>
      </c>
      <c r="P1382" s="132" t="s">
        <v>245</v>
      </c>
      <c r="Q1382" s="133">
        <v>34858</v>
      </c>
      <c r="R1382" s="132" t="s">
        <v>306</v>
      </c>
      <c r="S1382" s="132" t="s">
        <v>11</v>
      </c>
      <c r="T1382" s="134">
        <v>41910</v>
      </c>
      <c r="U1382" s="172">
        <f t="shared" si="73"/>
        <v>2014</v>
      </c>
      <c r="V1382" s="172">
        <f t="shared" si="74"/>
        <v>9</v>
      </c>
      <c r="W1382" s="44" t="s">
        <v>307</v>
      </c>
      <c r="X1382" t="s">
        <v>892</v>
      </c>
      <c r="Y1382">
        <v>51</v>
      </c>
      <c r="Z1382">
        <v>13952</v>
      </c>
      <c r="AA1382" s="13">
        <f t="shared" si="72"/>
        <v>8001013</v>
      </c>
      <c r="AE1382" s="43"/>
      <c r="AL1382" s="87" t="s">
        <v>819</v>
      </c>
      <c r="AM1382" s="86">
        <v>492342</v>
      </c>
    </row>
    <row r="1383" spans="13:39" hidden="1">
      <c r="M1383" s="131">
        <v>8872470</v>
      </c>
      <c r="N1383" s="223">
        <v>7450487</v>
      </c>
      <c r="O1383" s="132" t="s">
        <v>248</v>
      </c>
      <c r="P1383" s="132" t="s">
        <v>245</v>
      </c>
      <c r="Q1383" s="133">
        <v>4</v>
      </c>
      <c r="R1383" s="132" t="s">
        <v>289</v>
      </c>
      <c r="S1383" s="132" t="s">
        <v>11</v>
      </c>
      <c r="T1383" s="134">
        <v>41644</v>
      </c>
      <c r="U1383" s="172">
        <f t="shared" si="73"/>
        <v>2014</v>
      </c>
      <c r="V1383" s="172">
        <f t="shared" si="74"/>
        <v>1</v>
      </c>
      <c r="W1383" s="44" t="s">
        <v>317</v>
      </c>
      <c r="X1383" t="s">
        <v>894</v>
      </c>
      <c r="Y1383">
        <v>32</v>
      </c>
      <c r="Z1383">
        <v>7845</v>
      </c>
      <c r="AA1383" s="13">
        <f t="shared" si="72"/>
        <v>8872470</v>
      </c>
      <c r="AE1383" s="43"/>
      <c r="AL1383" s="87" t="s">
        <v>819</v>
      </c>
      <c r="AM1383" s="86">
        <v>492342</v>
      </c>
    </row>
    <row r="1384" spans="13:39" hidden="1">
      <c r="M1384" s="131">
        <v>9241000</v>
      </c>
      <c r="N1384" s="223">
        <v>10378575</v>
      </c>
      <c r="O1384" s="132" t="s">
        <v>248</v>
      </c>
      <c r="P1384" s="132" t="s">
        <v>245</v>
      </c>
      <c r="Q1384" s="133">
        <v>34856</v>
      </c>
      <c r="R1384" s="132" t="s">
        <v>306</v>
      </c>
      <c r="S1384" s="132" t="s">
        <v>11</v>
      </c>
      <c r="T1384" s="134">
        <v>41910</v>
      </c>
      <c r="U1384" s="172">
        <f t="shared" si="73"/>
        <v>2014</v>
      </c>
      <c r="V1384" s="172">
        <f t="shared" si="74"/>
        <v>9</v>
      </c>
      <c r="W1384" s="44" t="s">
        <v>307</v>
      </c>
      <c r="X1384" t="s">
        <v>892</v>
      </c>
      <c r="Y1384">
        <v>58</v>
      </c>
      <c r="Z1384">
        <v>10308</v>
      </c>
      <c r="AA1384" s="13">
        <f t="shared" si="72"/>
        <v>9241000</v>
      </c>
      <c r="AE1384" s="43"/>
      <c r="AL1384" s="87" t="s">
        <v>819</v>
      </c>
      <c r="AM1384" s="86">
        <v>492342</v>
      </c>
    </row>
    <row r="1385" spans="13:39" ht="30" hidden="1">
      <c r="M1385" s="131">
        <v>9505500</v>
      </c>
      <c r="N1385" s="223">
        <v>5286934</v>
      </c>
      <c r="O1385" s="132" t="s">
        <v>248</v>
      </c>
      <c r="P1385" s="132" t="s">
        <v>245</v>
      </c>
      <c r="Q1385" s="133">
        <v>10285</v>
      </c>
      <c r="R1385" s="132" t="s">
        <v>302</v>
      </c>
      <c r="S1385" s="132" t="s">
        <v>11</v>
      </c>
      <c r="T1385" s="134">
        <v>41798</v>
      </c>
      <c r="U1385" s="172">
        <f t="shared" si="73"/>
        <v>2014</v>
      </c>
      <c r="V1385" s="172">
        <f t="shared" si="74"/>
        <v>6</v>
      </c>
      <c r="W1385" s="44" t="s">
        <v>313</v>
      </c>
      <c r="X1385" t="s">
        <v>892</v>
      </c>
      <c r="Y1385">
        <v>48</v>
      </c>
      <c r="Z1385">
        <v>4352</v>
      </c>
      <c r="AA1385" s="13">
        <f t="shared" si="72"/>
        <v>9505500</v>
      </c>
      <c r="AE1385" s="43"/>
      <c r="AL1385" s="87" t="s">
        <v>819</v>
      </c>
      <c r="AM1385" s="86">
        <v>492342</v>
      </c>
    </row>
    <row r="1386" spans="13:39" hidden="1">
      <c r="M1386" s="131">
        <v>10600000</v>
      </c>
      <c r="N1386" s="223">
        <v>7977116</v>
      </c>
      <c r="O1386" s="132" t="s">
        <v>248</v>
      </c>
      <c r="P1386" s="132" t="s">
        <v>245</v>
      </c>
      <c r="Q1386" s="133">
        <v>34860</v>
      </c>
      <c r="R1386" s="132" t="s">
        <v>306</v>
      </c>
      <c r="S1386" s="132" t="s">
        <v>11</v>
      </c>
      <c r="T1386" s="134">
        <v>41910</v>
      </c>
      <c r="U1386" s="172">
        <f t="shared" si="73"/>
        <v>2014</v>
      </c>
      <c r="V1386" s="172">
        <f t="shared" si="74"/>
        <v>9</v>
      </c>
      <c r="W1386" s="44" t="s">
        <v>307</v>
      </c>
      <c r="X1386" t="s">
        <v>892</v>
      </c>
      <c r="Y1386">
        <v>92</v>
      </c>
      <c r="Z1386">
        <v>2207</v>
      </c>
      <c r="AA1386" s="13">
        <f t="shared" si="72"/>
        <v>10600000</v>
      </c>
      <c r="AE1386" s="43"/>
      <c r="AL1386" s="87" t="s">
        <v>819</v>
      </c>
      <c r="AM1386" s="86">
        <v>492342</v>
      </c>
    </row>
    <row r="1387" spans="13:39" hidden="1">
      <c r="M1387" s="131">
        <v>12125172</v>
      </c>
      <c r="N1387" s="223">
        <v>4641028</v>
      </c>
      <c r="O1387" s="132" t="s">
        <v>248</v>
      </c>
      <c r="P1387" s="132" t="s">
        <v>245</v>
      </c>
      <c r="Q1387" s="133">
        <v>37306</v>
      </c>
      <c r="R1387" s="132" t="s">
        <v>281</v>
      </c>
      <c r="S1387" s="132" t="s">
        <v>11</v>
      </c>
      <c r="T1387" s="134">
        <v>42505</v>
      </c>
      <c r="U1387" s="172">
        <f t="shared" si="73"/>
        <v>2016</v>
      </c>
      <c r="V1387" s="172">
        <f t="shared" si="74"/>
        <v>5</v>
      </c>
      <c r="W1387" s="44" t="s">
        <v>282</v>
      </c>
      <c r="X1387" t="s">
        <v>894</v>
      </c>
      <c r="Y1387">
        <v>22</v>
      </c>
      <c r="Z1387">
        <v>6015</v>
      </c>
      <c r="AA1387" s="13">
        <f t="shared" si="72"/>
        <v>12125172</v>
      </c>
      <c r="AE1387" s="43"/>
      <c r="AL1387" s="87" t="s">
        <v>819</v>
      </c>
      <c r="AM1387" s="86">
        <v>492342</v>
      </c>
    </row>
    <row r="1388" spans="13:39" hidden="1">
      <c r="M1388" s="131">
        <v>13346956</v>
      </c>
      <c r="N1388" s="223">
        <v>9853043</v>
      </c>
      <c r="O1388" s="132" t="s">
        <v>248</v>
      </c>
      <c r="P1388" s="132" t="s">
        <v>245</v>
      </c>
      <c r="Q1388" s="133">
        <v>34859</v>
      </c>
      <c r="R1388" s="132" t="s">
        <v>306</v>
      </c>
      <c r="S1388" s="132" t="s">
        <v>11</v>
      </c>
      <c r="T1388" s="134">
        <v>41910</v>
      </c>
      <c r="U1388" s="172">
        <f t="shared" si="73"/>
        <v>2014</v>
      </c>
      <c r="V1388" s="172">
        <f t="shared" si="74"/>
        <v>9</v>
      </c>
      <c r="W1388" s="44" t="s">
        <v>307</v>
      </c>
      <c r="X1388" t="s">
        <v>892</v>
      </c>
      <c r="Y1388">
        <v>116</v>
      </c>
      <c r="Z1388">
        <v>2651</v>
      </c>
      <c r="AA1388" s="13">
        <f t="shared" si="72"/>
        <v>13346956</v>
      </c>
      <c r="AE1388" s="43"/>
      <c r="AL1388" s="87" t="s">
        <v>819</v>
      </c>
      <c r="AM1388" s="86">
        <v>492342</v>
      </c>
    </row>
    <row r="1389" spans="13:39" hidden="1">
      <c r="M1389" s="131">
        <v>22000000</v>
      </c>
      <c r="N1389" s="223">
        <v>9676118</v>
      </c>
      <c r="O1389" s="132" t="s">
        <v>248</v>
      </c>
      <c r="P1389" s="132" t="s">
        <v>245</v>
      </c>
      <c r="Q1389" s="133">
        <v>41624</v>
      </c>
      <c r="R1389" s="132" t="s">
        <v>281</v>
      </c>
      <c r="S1389" s="132" t="s">
        <v>11</v>
      </c>
      <c r="T1389" s="134">
        <v>42505</v>
      </c>
      <c r="U1389" s="172">
        <f t="shared" si="73"/>
        <v>2016</v>
      </c>
      <c r="V1389" s="172">
        <f t="shared" si="74"/>
        <v>5</v>
      </c>
      <c r="W1389" s="44" t="s">
        <v>282</v>
      </c>
      <c r="X1389" t="s">
        <v>894</v>
      </c>
      <c r="Y1389">
        <v>47</v>
      </c>
      <c r="Z1389">
        <v>13290</v>
      </c>
      <c r="AA1389" s="13">
        <f t="shared" si="72"/>
        <v>22000000</v>
      </c>
      <c r="AE1389" s="43"/>
      <c r="AL1389" s="87" t="s">
        <v>819</v>
      </c>
      <c r="AM1389" s="86">
        <v>492342</v>
      </c>
    </row>
    <row r="1390" spans="13:39" hidden="1">
      <c r="M1390" s="131">
        <v>24440940</v>
      </c>
      <c r="N1390" s="223">
        <v>8360477</v>
      </c>
      <c r="O1390" s="132" t="s">
        <v>248</v>
      </c>
      <c r="P1390" s="132" t="s">
        <v>245</v>
      </c>
      <c r="Q1390" s="133">
        <v>33562</v>
      </c>
      <c r="R1390" s="132" t="s">
        <v>281</v>
      </c>
      <c r="S1390" s="132" t="s">
        <v>11</v>
      </c>
      <c r="T1390" s="134">
        <v>42505</v>
      </c>
      <c r="U1390" s="172">
        <f t="shared" si="73"/>
        <v>2016</v>
      </c>
      <c r="V1390" s="172">
        <f t="shared" si="74"/>
        <v>5</v>
      </c>
      <c r="W1390" s="44" t="s">
        <v>282</v>
      </c>
      <c r="X1390" t="s">
        <v>894</v>
      </c>
      <c r="Y1390">
        <v>47</v>
      </c>
      <c r="Z1390">
        <v>11627</v>
      </c>
      <c r="AA1390" s="13">
        <f t="shared" si="72"/>
        <v>24440940</v>
      </c>
      <c r="AE1390" s="43"/>
      <c r="AL1390" s="87" t="s">
        <v>819</v>
      </c>
      <c r="AM1390" s="86">
        <v>492342</v>
      </c>
    </row>
    <row r="1391" spans="13:39" hidden="1">
      <c r="M1391" s="154">
        <v>6526</v>
      </c>
      <c r="N1391" s="225">
        <v>33986881</v>
      </c>
      <c r="O1391" s="152" t="s">
        <v>248</v>
      </c>
      <c r="P1391" s="152" t="s">
        <v>251</v>
      </c>
      <c r="Q1391" s="133">
        <v>45633</v>
      </c>
      <c r="R1391" s="152" t="s">
        <v>935</v>
      </c>
      <c r="S1391" s="161" t="s">
        <v>11</v>
      </c>
      <c r="T1391" s="156">
        <v>42952</v>
      </c>
      <c r="U1391" s="172">
        <f t="shared" si="73"/>
        <v>2017</v>
      </c>
      <c r="V1391" s="172">
        <f t="shared" si="74"/>
        <v>8</v>
      </c>
      <c r="W1391" s="157" t="s">
        <v>936</v>
      </c>
      <c r="X1391" t="s">
        <v>892</v>
      </c>
      <c r="Y1391">
        <f>118+58</f>
        <v>176</v>
      </c>
      <c r="Z1391">
        <v>24082</v>
      </c>
      <c r="AA1391" s="13">
        <f t="shared" si="72"/>
        <v>-1856800</v>
      </c>
      <c r="AE1391" s="43"/>
      <c r="AL1391" s="87" t="s">
        <v>819</v>
      </c>
      <c r="AM1391" s="86">
        <v>492837</v>
      </c>
    </row>
    <row r="1392" spans="13:39" hidden="1">
      <c r="M1392" s="154">
        <v>7048</v>
      </c>
      <c r="N1392" s="225">
        <v>9854726</v>
      </c>
      <c r="O1392" s="152" t="s">
        <v>248</v>
      </c>
      <c r="P1392" s="152" t="s">
        <v>251</v>
      </c>
      <c r="Q1392" s="133">
        <v>45634</v>
      </c>
      <c r="R1392" s="152" t="s">
        <v>935</v>
      </c>
      <c r="S1392" s="161" t="s">
        <v>11</v>
      </c>
      <c r="T1392" s="156">
        <v>42952</v>
      </c>
      <c r="U1392" s="172">
        <f t="shared" si="73"/>
        <v>2017</v>
      </c>
      <c r="V1392" s="172">
        <f t="shared" si="74"/>
        <v>8</v>
      </c>
      <c r="W1392" s="157" t="s">
        <v>936</v>
      </c>
      <c r="X1392" t="s">
        <v>892</v>
      </c>
      <c r="Y1392">
        <f>52+26</f>
        <v>78</v>
      </c>
      <c r="Z1392">
        <v>5126</v>
      </c>
      <c r="AA1392" s="13">
        <f t="shared" si="72"/>
        <v>2230800</v>
      </c>
      <c r="AE1392" s="43"/>
      <c r="AL1392" s="87" t="s">
        <v>819</v>
      </c>
      <c r="AM1392" s="86">
        <v>492837</v>
      </c>
    </row>
    <row r="1393" spans="13:39" hidden="1">
      <c r="M1393" s="154">
        <v>7092</v>
      </c>
      <c r="N1393" s="225">
        <v>24010101</v>
      </c>
      <c r="O1393" s="152" t="s">
        <v>248</v>
      </c>
      <c r="P1393" s="152" t="s">
        <v>251</v>
      </c>
      <c r="Q1393" s="133">
        <v>45644</v>
      </c>
      <c r="R1393" s="152" t="s">
        <v>935</v>
      </c>
      <c r="S1393" s="161" t="s">
        <v>11</v>
      </c>
      <c r="T1393" s="156">
        <v>42952</v>
      </c>
      <c r="U1393" s="172">
        <f t="shared" si="73"/>
        <v>2017</v>
      </c>
      <c r="V1393" s="172">
        <f t="shared" si="74"/>
        <v>8</v>
      </c>
      <c r="W1393" s="157" t="s">
        <v>936</v>
      </c>
      <c r="X1393" t="s">
        <v>892</v>
      </c>
      <c r="Y1393">
        <v>150</v>
      </c>
      <c r="Z1393">
        <v>17014</v>
      </c>
      <c r="AA1393" s="13">
        <f t="shared" si="72"/>
        <v>4785000</v>
      </c>
      <c r="AE1393" s="43"/>
      <c r="AL1393" s="87" t="s">
        <v>819</v>
      </c>
      <c r="AM1393" s="86">
        <v>492837</v>
      </c>
    </row>
    <row r="1394" spans="13:39" hidden="1">
      <c r="M1394" s="154">
        <v>6748</v>
      </c>
      <c r="N1394" s="225">
        <v>29852261</v>
      </c>
      <c r="O1394" s="152" t="s">
        <v>248</v>
      </c>
      <c r="P1394" s="152" t="s">
        <v>251</v>
      </c>
      <c r="Q1394" s="133">
        <v>45645</v>
      </c>
      <c r="R1394" s="152" t="s">
        <v>935</v>
      </c>
      <c r="S1394" s="161" t="s">
        <v>11</v>
      </c>
      <c r="T1394" s="156">
        <v>42952</v>
      </c>
      <c r="U1394" s="172">
        <f t="shared" si="73"/>
        <v>2017</v>
      </c>
      <c r="V1394" s="172">
        <f t="shared" si="74"/>
        <v>8</v>
      </c>
      <c r="W1394" s="157" t="s">
        <v>936</v>
      </c>
      <c r="X1394" t="s">
        <v>892</v>
      </c>
      <c r="Y1394">
        <f>147+72</f>
        <v>219</v>
      </c>
      <c r="Z1394">
        <v>18427</v>
      </c>
      <c r="AA1394" s="13">
        <f t="shared" si="72"/>
        <v>1335900</v>
      </c>
      <c r="AE1394" s="43"/>
      <c r="AL1394" s="87" t="s">
        <v>819</v>
      </c>
      <c r="AM1394" s="86">
        <v>492837</v>
      </c>
    </row>
    <row r="1395" spans="13:39" hidden="1">
      <c r="M1395" s="152" t="s">
        <v>917</v>
      </c>
      <c r="N1395" s="225">
        <v>32736053</v>
      </c>
      <c r="O1395" s="152" t="s">
        <v>248</v>
      </c>
      <c r="P1395" s="152" t="s">
        <v>251</v>
      </c>
      <c r="Q1395" s="133">
        <v>45646</v>
      </c>
      <c r="R1395" s="152" t="s">
        <v>935</v>
      </c>
      <c r="S1395" s="161" t="s">
        <v>11</v>
      </c>
      <c r="T1395" s="156">
        <v>42952</v>
      </c>
      <c r="U1395" s="172">
        <f t="shared" si="73"/>
        <v>2017</v>
      </c>
      <c r="V1395" s="172">
        <f t="shared" si="74"/>
        <v>8</v>
      </c>
      <c r="W1395" s="157" t="s">
        <v>936</v>
      </c>
      <c r="X1395" t="s">
        <v>892</v>
      </c>
      <c r="Y1395">
        <v>200</v>
      </c>
      <c r="Z1395">
        <v>23772</v>
      </c>
      <c r="AA1395" s="13" t="str">
        <f t="shared" si="72"/>
        <v>אין הצעות למתחם זה</v>
      </c>
      <c r="AE1395" s="43"/>
      <c r="AL1395" s="87" t="s">
        <v>819</v>
      </c>
      <c r="AM1395" s="86">
        <v>492837</v>
      </c>
    </row>
    <row r="1396" spans="13:39" hidden="1">
      <c r="M1396" s="154">
        <v>7050</v>
      </c>
      <c r="N1396" s="225">
        <v>26910371</v>
      </c>
      <c r="O1396" s="152" t="s">
        <v>248</v>
      </c>
      <c r="P1396" s="152" t="s">
        <v>251</v>
      </c>
      <c r="Q1396" s="133">
        <v>45647</v>
      </c>
      <c r="R1396" s="152" t="s">
        <v>935</v>
      </c>
      <c r="S1396" s="161" t="s">
        <v>11</v>
      </c>
      <c r="T1396" s="156">
        <v>42952</v>
      </c>
      <c r="U1396" s="172">
        <f t="shared" si="73"/>
        <v>2017</v>
      </c>
      <c r="V1396" s="172">
        <f t="shared" si="74"/>
        <v>8</v>
      </c>
      <c r="W1396" s="157" t="s">
        <v>936</v>
      </c>
      <c r="X1396" t="s">
        <v>892</v>
      </c>
      <c r="Y1396">
        <v>161</v>
      </c>
      <c r="Z1396">
        <v>19846</v>
      </c>
      <c r="AA1396" s="13">
        <f t="shared" si="72"/>
        <v>4628750</v>
      </c>
      <c r="AE1396" s="43"/>
      <c r="AL1396" s="87" t="s">
        <v>819</v>
      </c>
      <c r="AM1396" s="86">
        <v>492837</v>
      </c>
    </row>
    <row r="1397" spans="13:39" hidden="1">
      <c r="M1397" s="152" t="s">
        <v>917</v>
      </c>
      <c r="N1397" s="225">
        <v>27352800</v>
      </c>
      <c r="O1397" s="152" t="s">
        <v>248</v>
      </c>
      <c r="P1397" s="152" t="s">
        <v>251</v>
      </c>
      <c r="Q1397" s="133">
        <v>45648</v>
      </c>
      <c r="R1397" s="152" t="s">
        <v>935</v>
      </c>
      <c r="S1397" s="161" t="s">
        <v>11</v>
      </c>
      <c r="T1397" s="156">
        <v>42952</v>
      </c>
      <c r="U1397" s="172">
        <f t="shared" si="73"/>
        <v>2017</v>
      </c>
      <c r="V1397" s="172">
        <f t="shared" si="74"/>
        <v>8</v>
      </c>
      <c r="W1397" s="157" t="s">
        <v>936</v>
      </c>
      <c r="X1397" t="s">
        <v>892</v>
      </c>
      <c r="Y1397">
        <v>158</v>
      </c>
      <c r="Z1397">
        <v>20672</v>
      </c>
      <c r="AA1397" s="13" t="str">
        <f t="shared" si="72"/>
        <v>אין הצעות למתחם זה</v>
      </c>
      <c r="AE1397" s="43"/>
      <c r="AL1397" s="87" t="s">
        <v>819</v>
      </c>
      <c r="AM1397" s="86">
        <v>492837</v>
      </c>
    </row>
    <row r="1398" spans="13:39" hidden="1">
      <c r="M1398" s="152" t="s">
        <v>917</v>
      </c>
      <c r="N1398" s="225">
        <v>18884061</v>
      </c>
      <c r="O1398" s="152" t="s">
        <v>248</v>
      </c>
      <c r="P1398" s="152" t="s">
        <v>251</v>
      </c>
      <c r="Q1398" s="133">
        <v>45649</v>
      </c>
      <c r="R1398" s="152" t="s">
        <v>935</v>
      </c>
      <c r="S1398" s="161" t="s">
        <v>11</v>
      </c>
      <c r="T1398" s="156">
        <v>42952</v>
      </c>
      <c r="U1398" s="172">
        <f t="shared" si="73"/>
        <v>2017</v>
      </c>
      <c r="V1398" s="172">
        <f t="shared" si="74"/>
        <v>8</v>
      </c>
      <c r="W1398" s="157" t="s">
        <v>936</v>
      </c>
      <c r="X1398" t="s">
        <v>892</v>
      </c>
      <c r="Y1398">
        <v>112</v>
      </c>
      <c r="Z1398">
        <v>14013</v>
      </c>
      <c r="AA1398" s="13" t="str">
        <f t="shared" si="72"/>
        <v>אין הצעות למתחם זה</v>
      </c>
      <c r="AE1398" s="43"/>
      <c r="AL1398" s="87" t="s">
        <v>819</v>
      </c>
      <c r="AM1398" s="86">
        <v>492837</v>
      </c>
    </row>
    <row r="1399" spans="13:39" hidden="1">
      <c r="M1399" s="152" t="s">
        <v>917</v>
      </c>
      <c r="N1399" s="225">
        <v>8872914</v>
      </c>
      <c r="O1399" s="152" t="s">
        <v>248</v>
      </c>
      <c r="P1399" s="152" t="s">
        <v>251</v>
      </c>
      <c r="Q1399" s="133">
        <v>45650</v>
      </c>
      <c r="R1399" s="152" t="s">
        <v>935</v>
      </c>
      <c r="S1399" s="161" t="s">
        <v>11</v>
      </c>
      <c r="T1399" s="156">
        <v>42952</v>
      </c>
      <c r="U1399" s="172">
        <f t="shared" si="73"/>
        <v>2017</v>
      </c>
      <c r="V1399" s="172">
        <f t="shared" si="74"/>
        <v>8</v>
      </c>
      <c r="W1399" s="157" t="s">
        <v>936</v>
      </c>
      <c r="X1399" t="s">
        <v>892</v>
      </c>
      <c r="Y1399">
        <v>53</v>
      </c>
      <c r="Z1399">
        <v>6548</v>
      </c>
      <c r="AA1399" s="13" t="str">
        <f t="shared" si="72"/>
        <v>אין הצעות למתחם זה</v>
      </c>
      <c r="AE1399" s="43"/>
      <c r="AL1399" s="87" t="s">
        <v>819</v>
      </c>
      <c r="AM1399" s="86">
        <v>492837</v>
      </c>
    </row>
    <row r="1400" spans="13:39" hidden="1">
      <c r="M1400" s="152" t="s">
        <v>937</v>
      </c>
      <c r="N1400" s="225">
        <v>12693229</v>
      </c>
      <c r="O1400" s="152" t="s">
        <v>248</v>
      </c>
      <c r="P1400" s="152" t="s">
        <v>251</v>
      </c>
      <c r="Q1400" s="133">
        <v>45651</v>
      </c>
      <c r="R1400" s="152" t="s">
        <v>935</v>
      </c>
      <c r="S1400" s="161" t="s">
        <v>11</v>
      </c>
      <c r="T1400" s="156">
        <v>42952</v>
      </c>
      <c r="U1400" s="172">
        <f t="shared" si="73"/>
        <v>2017</v>
      </c>
      <c r="V1400" s="172">
        <f t="shared" si="74"/>
        <v>8</v>
      </c>
      <c r="W1400" s="157" t="s">
        <v>936</v>
      </c>
      <c r="X1400" t="s">
        <v>892</v>
      </c>
      <c r="Y1400">
        <v>74</v>
      </c>
      <c r="Z1400">
        <v>9539</v>
      </c>
      <c r="AA1400" s="13" t="str">
        <f t="shared" si="72"/>
        <v>המציע זכה במתחם אחר</v>
      </c>
      <c r="AE1400" s="43"/>
      <c r="AL1400" s="87" t="s">
        <v>819</v>
      </c>
      <c r="AM1400" s="86">
        <v>492837</v>
      </c>
    </row>
    <row r="1401" spans="13:39" hidden="1">
      <c r="M1401" s="152" t="s">
        <v>937</v>
      </c>
      <c r="N1401" s="225">
        <v>8352429</v>
      </c>
      <c r="O1401" s="152" t="s">
        <v>248</v>
      </c>
      <c r="P1401" s="152" t="s">
        <v>251</v>
      </c>
      <c r="Q1401" s="133">
        <v>45652</v>
      </c>
      <c r="R1401" s="152" t="s">
        <v>935</v>
      </c>
      <c r="S1401" s="161" t="s">
        <v>11</v>
      </c>
      <c r="T1401" s="156">
        <v>42952</v>
      </c>
      <c r="U1401" s="172">
        <f t="shared" si="73"/>
        <v>2017</v>
      </c>
      <c r="V1401" s="172">
        <f t="shared" si="74"/>
        <v>8</v>
      </c>
      <c r="W1401" s="157" t="s">
        <v>936</v>
      </c>
      <c r="X1401" t="s">
        <v>892</v>
      </c>
      <c r="Y1401">
        <v>62</v>
      </c>
      <c r="Z1401">
        <v>4731</v>
      </c>
      <c r="AA1401" s="13" t="str">
        <f t="shared" si="72"/>
        <v>המציע זכה במתחם אחר</v>
      </c>
      <c r="AE1401" s="43"/>
      <c r="AL1401" s="87" t="s">
        <v>819</v>
      </c>
      <c r="AM1401" s="86">
        <v>492837</v>
      </c>
    </row>
    <row r="1402" spans="13:39" hidden="1">
      <c r="M1402" s="154">
        <v>6685</v>
      </c>
      <c r="N1402" s="225">
        <v>14554726</v>
      </c>
      <c r="O1402" s="152" t="s">
        <v>248</v>
      </c>
      <c r="P1402" s="152" t="s">
        <v>251</v>
      </c>
      <c r="Q1402" s="133">
        <v>45653</v>
      </c>
      <c r="R1402" s="152" t="s">
        <v>935</v>
      </c>
      <c r="S1402" s="161" t="s">
        <v>11</v>
      </c>
      <c r="T1402" s="156">
        <v>42952</v>
      </c>
      <c r="U1402" s="172">
        <f t="shared" si="73"/>
        <v>2017</v>
      </c>
      <c r="V1402" s="172">
        <f t="shared" si="74"/>
        <v>8</v>
      </c>
      <c r="W1402" s="157" t="s">
        <v>936</v>
      </c>
      <c r="X1402" t="s">
        <v>892</v>
      </c>
      <c r="Y1402">
        <f>87+43</f>
        <v>130</v>
      </c>
      <c r="Z1402">
        <v>6921</v>
      </c>
      <c r="AA1402" s="13">
        <f t="shared" si="72"/>
        <v>178750</v>
      </c>
      <c r="AE1402" s="43"/>
      <c r="AL1402" s="87" t="s">
        <v>819</v>
      </c>
      <c r="AM1402" s="86">
        <v>492837</v>
      </c>
    </row>
    <row r="1403" spans="13:39" hidden="1">
      <c r="M1403" s="152" t="s">
        <v>945</v>
      </c>
      <c r="N1403" s="225">
        <v>567845</v>
      </c>
      <c r="O1403" s="152" t="s">
        <v>244</v>
      </c>
      <c r="P1403" s="152" t="s">
        <v>245</v>
      </c>
      <c r="Q1403" s="133">
        <v>35</v>
      </c>
      <c r="R1403" s="152" t="s">
        <v>279</v>
      </c>
      <c r="S1403" s="161" t="s">
        <v>11</v>
      </c>
      <c r="T1403" s="156">
        <v>42921</v>
      </c>
      <c r="U1403" s="172">
        <f t="shared" si="73"/>
        <v>2017</v>
      </c>
      <c r="V1403" s="172">
        <f t="shared" si="74"/>
        <v>7</v>
      </c>
      <c r="W1403" s="157" t="s">
        <v>946</v>
      </c>
      <c r="X1403" t="s">
        <v>892</v>
      </c>
      <c r="Y1403">
        <v>1</v>
      </c>
      <c r="AA1403" s="13" t="str">
        <f t="shared" si="72"/>
        <v>בחירת מתחם תערך במרחב</v>
      </c>
      <c r="AE1403" s="43"/>
      <c r="AL1403" s="87" t="s">
        <v>819</v>
      </c>
      <c r="AM1403" s="86">
        <v>492837</v>
      </c>
    </row>
    <row r="1404" spans="13:39" hidden="1">
      <c r="M1404" s="152" t="s">
        <v>945</v>
      </c>
      <c r="N1404" s="225">
        <v>568422</v>
      </c>
      <c r="O1404" s="152" t="s">
        <v>244</v>
      </c>
      <c r="P1404" s="152" t="s">
        <v>245</v>
      </c>
      <c r="Q1404" s="133">
        <v>46</v>
      </c>
      <c r="R1404" s="152" t="s">
        <v>279</v>
      </c>
      <c r="S1404" s="161" t="s">
        <v>11</v>
      </c>
      <c r="T1404" s="156">
        <v>42921</v>
      </c>
      <c r="U1404" s="172">
        <f t="shared" si="73"/>
        <v>2017</v>
      </c>
      <c r="V1404" s="172">
        <f t="shared" si="74"/>
        <v>7</v>
      </c>
      <c r="W1404" s="157" t="s">
        <v>946</v>
      </c>
      <c r="X1404" t="s">
        <v>892</v>
      </c>
      <c r="Y1404">
        <v>1</v>
      </c>
      <c r="AA1404" s="13" t="str">
        <f t="shared" si="72"/>
        <v>בחירת מתחם תערך במרחב</v>
      </c>
      <c r="AE1404" s="43"/>
      <c r="AL1404" s="87" t="s">
        <v>819</v>
      </c>
      <c r="AM1404" s="86">
        <v>492837</v>
      </c>
    </row>
    <row r="1405" spans="13:39" hidden="1">
      <c r="M1405" s="152" t="s">
        <v>945</v>
      </c>
      <c r="N1405" s="225">
        <v>572465</v>
      </c>
      <c r="O1405" s="152" t="s">
        <v>244</v>
      </c>
      <c r="P1405" s="152" t="s">
        <v>245</v>
      </c>
      <c r="Q1405" s="133">
        <v>76</v>
      </c>
      <c r="R1405" s="152" t="s">
        <v>279</v>
      </c>
      <c r="S1405" s="161" t="s">
        <v>11</v>
      </c>
      <c r="T1405" s="156">
        <v>42921</v>
      </c>
      <c r="U1405" s="172">
        <f t="shared" si="73"/>
        <v>2017</v>
      </c>
      <c r="V1405" s="172">
        <f t="shared" si="74"/>
        <v>7</v>
      </c>
      <c r="W1405" s="157" t="s">
        <v>946</v>
      </c>
      <c r="X1405" t="s">
        <v>892</v>
      </c>
      <c r="Y1405">
        <v>1</v>
      </c>
      <c r="AA1405" s="13" t="str">
        <f t="shared" si="72"/>
        <v>בחירת מתחם תערך במרחב</v>
      </c>
      <c r="AE1405" s="43"/>
      <c r="AL1405" s="87" t="s">
        <v>819</v>
      </c>
      <c r="AM1405" s="86">
        <v>492837</v>
      </c>
    </row>
    <row r="1406" spans="13:39" hidden="1">
      <c r="M1406" s="152" t="s">
        <v>945</v>
      </c>
      <c r="N1406" s="225">
        <v>566690</v>
      </c>
      <c r="O1406" s="152" t="s">
        <v>244</v>
      </c>
      <c r="P1406" s="152" t="s">
        <v>245</v>
      </c>
      <c r="Q1406" s="133">
        <v>226</v>
      </c>
      <c r="R1406" s="152" t="s">
        <v>279</v>
      </c>
      <c r="S1406" s="161" t="s">
        <v>11</v>
      </c>
      <c r="T1406" s="156">
        <v>42921</v>
      </c>
      <c r="U1406" s="172">
        <f t="shared" si="73"/>
        <v>2017</v>
      </c>
      <c r="V1406" s="172">
        <f t="shared" si="74"/>
        <v>7</v>
      </c>
      <c r="W1406" s="157" t="s">
        <v>946</v>
      </c>
      <c r="X1406" t="s">
        <v>892</v>
      </c>
      <c r="Y1406">
        <v>1</v>
      </c>
      <c r="AA1406" s="13" t="str">
        <f t="shared" si="72"/>
        <v>בחירת מתחם תערך במרחב</v>
      </c>
      <c r="AE1406" s="43"/>
      <c r="AL1406" s="87" t="s">
        <v>819</v>
      </c>
      <c r="AM1406" s="86">
        <v>492837</v>
      </c>
    </row>
    <row r="1407" spans="13:39" hidden="1">
      <c r="M1407" s="152" t="s">
        <v>945</v>
      </c>
      <c r="N1407" s="225">
        <v>571310</v>
      </c>
      <c r="O1407" s="152" t="s">
        <v>244</v>
      </c>
      <c r="P1407" s="152" t="s">
        <v>245</v>
      </c>
      <c r="Q1407" s="133">
        <v>316</v>
      </c>
      <c r="R1407" s="152" t="s">
        <v>279</v>
      </c>
      <c r="S1407" s="161" t="s">
        <v>11</v>
      </c>
      <c r="T1407" s="156">
        <v>42921</v>
      </c>
      <c r="U1407" s="172">
        <f t="shared" si="73"/>
        <v>2017</v>
      </c>
      <c r="V1407" s="172">
        <f t="shared" si="74"/>
        <v>7</v>
      </c>
      <c r="W1407" s="157" t="s">
        <v>946</v>
      </c>
      <c r="X1407" t="s">
        <v>892</v>
      </c>
      <c r="Y1407">
        <v>1</v>
      </c>
      <c r="AA1407" s="13" t="str">
        <f t="shared" si="72"/>
        <v>בחירת מתחם תערך במרחב</v>
      </c>
      <c r="AE1407" s="43"/>
      <c r="AL1407" s="87" t="s">
        <v>819</v>
      </c>
      <c r="AM1407" s="86">
        <v>492837</v>
      </c>
    </row>
    <row r="1408" spans="13:39" hidden="1">
      <c r="M1408" s="152" t="s">
        <v>945</v>
      </c>
      <c r="N1408" s="225">
        <v>574198</v>
      </c>
      <c r="O1408" s="152" t="s">
        <v>244</v>
      </c>
      <c r="P1408" s="152" t="s">
        <v>245</v>
      </c>
      <c r="Q1408" s="133">
        <v>426</v>
      </c>
      <c r="R1408" s="152" t="s">
        <v>279</v>
      </c>
      <c r="S1408" s="161" t="s">
        <v>11</v>
      </c>
      <c r="T1408" s="156">
        <v>42921</v>
      </c>
      <c r="U1408" s="172">
        <f t="shared" si="73"/>
        <v>2017</v>
      </c>
      <c r="V1408" s="172">
        <f t="shared" si="74"/>
        <v>7</v>
      </c>
      <c r="W1408" s="157" t="s">
        <v>946</v>
      </c>
      <c r="X1408" t="s">
        <v>892</v>
      </c>
      <c r="Y1408">
        <v>1</v>
      </c>
      <c r="AA1408" s="13" t="str">
        <f t="shared" si="72"/>
        <v>בחירת מתחם תערך במרחב</v>
      </c>
      <c r="AE1408" s="43"/>
      <c r="AL1408" s="87" t="s">
        <v>819</v>
      </c>
      <c r="AM1408" s="86">
        <v>492837</v>
      </c>
    </row>
    <row r="1409" spans="13:39" hidden="1">
      <c r="M1409" s="152" t="s">
        <v>945</v>
      </c>
      <c r="N1409" s="225">
        <v>566113</v>
      </c>
      <c r="O1409" s="152" t="s">
        <v>244</v>
      </c>
      <c r="P1409" s="152" t="s">
        <v>245</v>
      </c>
      <c r="Q1409" s="133">
        <v>460</v>
      </c>
      <c r="R1409" s="152" t="s">
        <v>279</v>
      </c>
      <c r="S1409" s="161" t="s">
        <v>11</v>
      </c>
      <c r="T1409" s="156">
        <v>42921</v>
      </c>
      <c r="U1409" s="172">
        <f t="shared" si="73"/>
        <v>2017</v>
      </c>
      <c r="V1409" s="172">
        <f t="shared" si="74"/>
        <v>7</v>
      </c>
      <c r="W1409" s="157" t="s">
        <v>946</v>
      </c>
      <c r="X1409" t="s">
        <v>892</v>
      </c>
      <c r="Y1409">
        <v>1</v>
      </c>
      <c r="AA1409" s="13" t="str">
        <f t="shared" si="72"/>
        <v>בחירת מתחם תערך במרחב</v>
      </c>
      <c r="AE1409" s="43"/>
      <c r="AL1409" s="87" t="s">
        <v>819</v>
      </c>
      <c r="AM1409" s="86">
        <v>492837</v>
      </c>
    </row>
    <row r="1410" spans="13:39" hidden="1">
      <c r="M1410" s="152" t="s">
        <v>945</v>
      </c>
      <c r="N1410" s="225">
        <v>578818</v>
      </c>
      <c r="O1410" s="152" t="s">
        <v>244</v>
      </c>
      <c r="P1410" s="152" t="s">
        <v>245</v>
      </c>
      <c r="Q1410" s="133">
        <v>501</v>
      </c>
      <c r="R1410" s="152" t="s">
        <v>279</v>
      </c>
      <c r="S1410" s="161" t="s">
        <v>11</v>
      </c>
      <c r="T1410" s="156">
        <v>42921</v>
      </c>
      <c r="U1410" s="172">
        <f t="shared" si="73"/>
        <v>2017</v>
      </c>
      <c r="V1410" s="172">
        <f t="shared" si="74"/>
        <v>7</v>
      </c>
      <c r="W1410" s="157" t="s">
        <v>946</v>
      </c>
      <c r="X1410" t="s">
        <v>892</v>
      </c>
      <c r="Y1410">
        <v>1</v>
      </c>
      <c r="AA1410" s="13" t="str">
        <f t="shared" si="72"/>
        <v>בחירת מתחם תערך במרחב</v>
      </c>
      <c r="AE1410" s="43"/>
      <c r="AL1410" s="87" t="s">
        <v>819</v>
      </c>
      <c r="AM1410" s="86">
        <v>492837</v>
      </c>
    </row>
    <row r="1411" spans="13:39" hidden="1">
      <c r="M1411" s="152" t="s">
        <v>945</v>
      </c>
      <c r="N1411" s="225">
        <v>607626</v>
      </c>
      <c r="O1411" s="152" t="s">
        <v>244</v>
      </c>
      <c r="P1411" s="152" t="s">
        <v>245</v>
      </c>
      <c r="Q1411" s="133">
        <v>655</v>
      </c>
      <c r="R1411" s="152" t="s">
        <v>279</v>
      </c>
      <c r="S1411" s="161" t="s">
        <v>11</v>
      </c>
      <c r="T1411" s="156">
        <v>42921</v>
      </c>
      <c r="U1411" s="172">
        <f t="shared" si="73"/>
        <v>2017</v>
      </c>
      <c r="V1411" s="172">
        <f t="shared" si="74"/>
        <v>7</v>
      </c>
      <c r="W1411" s="157" t="s">
        <v>946</v>
      </c>
      <c r="X1411" t="s">
        <v>892</v>
      </c>
      <c r="Y1411">
        <v>1</v>
      </c>
      <c r="AA1411" s="13" t="str">
        <f t="shared" si="72"/>
        <v>בחירת מתחם תערך במרחב</v>
      </c>
      <c r="AE1411" s="43"/>
      <c r="AL1411" s="87" t="s">
        <v>819</v>
      </c>
      <c r="AM1411" s="86">
        <v>492837</v>
      </c>
    </row>
    <row r="1412" spans="13:39" hidden="1">
      <c r="M1412" s="152" t="s">
        <v>945</v>
      </c>
      <c r="N1412" s="225">
        <v>624951</v>
      </c>
      <c r="O1412" s="152" t="s">
        <v>244</v>
      </c>
      <c r="P1412" s="152" t="s">
        <v>245</v>
      </c>
      <c r="Q1412" s="133">
        <v>657</v>
      </c>
      <c r="R1412" s="152" t="s">
        <v>279</v>
      </c>
      <c r="S1412" s="161" t="s">
        <v>11</v>
      </c>
      <c r="T1412" s="156">
        <v>42921</v>
      </c>
      <c r="U1412" s="172">
        <f t="shared" si="73"/>
        <v>2017</v>
      </c>
      <c r="V1412" s="172">
        <f t="shared" si="74"/>
        <v>7</v>
      </c>
      <c r="W1412" s="157" t="s">
        <v>946</v>
      </c>
      <c r="X1412" t="s">
        <v>892</v>
      </c>
      <c r="Y1412">
        <v>1</v>
      </c>
      <c r="AA1412" s="13" t="str">
        <f t="shared" ref="AA1412:AA1475" si="75">IF(M1412&lt;30000,Y1412*100*M1412*(1-$L$1)-$L$2*Y1412,M1412)</f>
        <v>בחירת מתחם תערך במרחב</v>
      </c>
      <c r="AE1412" s="43"/>
      <c r="AL1412" s="87" t="s">
        <v>819</v>
      </c>
      <c r="AM1412" s="86">
        <v>492837</v>
      </c>
    </row>
    <row r="1413" spans="13:39" hidden="1">
      <c r="M1413" s="152" t="s">
        <v>945</v>
      </c>
      <c r="N1413" s="225">
        <v>624951</v>
      </c>
      <c r="O1413" s="152" t="s">
        <v>244</v>
      </c>
      <c r="P1413" s="152" t="s">
        <v>245</v>
      </c>
      <c r="Q1413" s="133">
        <v>658</v>
      </c>
      <c r="R1413" s="152" t="s">
        <v>279</v>
      </c>
      <c r="S1413" s="161" t="s">
        <v>11</v>
      </c>
      <c r="T1413" s="156">
        <v>42921</v>
      </c>
      <c r="U1413" s="172">
        <f t="shared" si="73"/>
        <v>2017</v>
      </c>
      <c r="V1413" s="172">
        <f t="shared" si="74"/>
        <v>7</v>
      </c>
      <c r="W1413" s="157" t="s">
        <v>946</v>
      </c>
      <c r="X1413" t="s">
        <v>892</v>
      </c>
      <c r="Y1413">
        <v>1</v>
      </c>
      <c r="AA1413" s="13" t="str">
        <f t="shared" si="75"/>
        <v>בחירת מתחם תערך במרחב</v>
      </c>
      <c r="AE1413" s="43"/>
      <c r="AL1413" s="87" t="s">
        <v>819</v>
      </c>
      <c r="AM1413" s="86">
        <v>492837</v>
      </c>
    </row>
    <row r="1414" spans="13:39" hidden="1">
      <c r="M1414" s="152" t="s">
        <v>945</v>
      </c>
      <c r="N1414" s="225">
        <v>616866</v>
      </c>
      <c r="O1414" s="152" t="s">
        <v>244</v>
      </c>
      <c r="P1414" s="152" t="s">
        <v>245</v>
      </c>
      <c r="Q1414" s="133">
        <v>662</v>
      </c>
      <c r="R1414" s="152" t="s">
        <v>279</v>
      </c>
      <c r="S1414" s="161" t="s">
        <v>11</v>
      </c>
      <c r="T1414" s="156">
        <v>42921</v>
      </c>
      <c r="U1414" s="172">
        <f t="shared" si="73"/>
        <v>2017</v>
      </c>
      <c r="V1414" s="172">
        <f t="shared" si="74"/>
        <v>7</v>
      </c>
      <c r="W1414" s="157" t="s">
        <v>946</v>
      </c>
      <c r="X1414" t="s">
        <v>892</v>
      </c>
      <c r="Y1414">
        <v>1</v>
      </c>
      <c r="AA1414" s="13" t="str">
        <f t="shared" si="75"/>
        <v>בחירת מתחם תערך במרחב</v>
      </c>
      <c r="AE1414" s="43"/>
      <c r="AL1414" s="87" t="s">
        <v>819</v>
      </c>
      <c r="AM1414" s="86">
        <v>492837</v>
      </c>
    </row>
    <row r="1415" spans="13:39" hidden="1">
      <c r="M1415" s="152" t="s">
        <v>945</v>
      </c>
      <c r="N1415" s="225">
        <v>619753</v>
      </c>
      <c r="O1415" s="152" t="s">
        <v>244</v>
      </c>
      <c r="P1415" s="152" t="s">
        <v>245</v>
      </c>
      <c r="Q1415" s="133">
        <v>666</v>
      </c>
      <c r="R1415" s="152" t="s">
        <v>279</v>
      </c>
      <c r="S1415" s="161" t="s">
        <v>11</v>
      </c>
      <c r="T1415" s="156">
        <v>42921</v>
      </c>
      <c r="U1415" s="172">
        <f t="shared" ref="U1415:U1478" si="76">YEAR($T1415)</f>
        <v>2017</v>
      </c>
      <c r="V1415" s="172">
        <f t="shared" ref="V1415:V1478" si="77">MONTH($T1415)</f>
        <v>7</v>
      </c>
      <c r="W1415" s="157" t="s">
        <v>946</v>
      </c>
      <c r="X1415" t="s">
        <v>892</v>
      </c>
      <c r="Y1415">
        <v>1</v>
      </c>
      <c r="AA1415" s="13" t="str">
        <f t="shared" si="75"/>
        <v>בחירת מתחם תערך במרחב</v>
      </c>
      <c r="AE1415" s="43"/>
      <c r="AL1415" s="87" t="s">
        <v>819</v>
      </c>
      <c r="AM1415" s="86">
        <v>492837</v>
      </c>
    </row>
    <row r="1416" spans="13:39" hidden="1">
      <c r="M1416" s="152" t="s">
        <v>945</v>
      </c>
      <c r="N1416" s="225">
        <v>619176</v>
      </c>
      <c r="O1416" s="152" t="s">
        <v>244</v>
      </c>
      <c r="P1416" s="152" t="s">
        <v>245</v>
      </c>
      <c r="Q1416" s="133">
        <v>675</v>
      </c>
      <c r="R1416" s="152" t="s">
        <v>279</v>
      </c>
      <c r="S1416" s="161" t="s">
        <v>11</v>
      </c>
      <c r="T1416" s="156">
        <v>42921</v>
      </c>
      <c r="U1416" s="172">
        <f t="shared" si="76"/>
        <v>2017</v>
      </c>
      <c r="V1416" s="172">
        <f t="shared" si="77"/>
        <v>7</v>
      </c>
      <c r="W1416" s="157" t="s">
        <v>946</v>
      </c>
      <c r="X1416" t="s">
        <v>892</v>
      </c>
      <c r="Y1416">
        <v>1</v>
      </c>
      <c r="AA1416" s="13" t="str">
        <f t="shared" si="75"/>
        <v>בחירת מתחם תערך במרחב</v>
      </c>
      <c r="AE1416" s="43"/>
      <c r="AL1416" s="87" t="s">
        <v>819</v>
      </c>
      <c r="AM1416" s="86">
        <v>492837</v>
      </c>
    </row>
    <row r="1417" spans="13:39" hidden="1">
      <c r="M1417" s="152" t="s">
        <v>945</v>
      </c>
      <c r="N1417" s="225">
        <v>558027</v>
      </c>
      <c r="O1417" s="152" t="s">
        <v>244</v>
      </c>
      <c r="P1417" s="152" t="s">
        <v>245</v>
      </c>
      <c r="Q1417" s="133">
        <v>1085</v>
      </c>
      <c r="R1417" s="152" t="s">
        <v>279</v>
      </c>
      <c r="S1417" s="161" t="s">
        <v>11</v>
      </c>
      <c r="T1417" s="156">
        <v>42921</v>
      </c>
      <c r="U1417" s="172">
        <f t="shared" si="76"/>
        <v>2017</v>
      </c>
      <c r="V1417" s="172">
        <f t="shared" si="77"/>
        <v>7</v>
      </c>
      <c r="W1417" s="157" t="s">
        <v>946</v>
      </c>
      <c r="X1417" t="s">
        <v>892</v>
      </c>
      <c r="Y1417">
        <v>1</v>
      </c>
      <c r="AA1417" s="13" t="str">
        <f t="shared" si="75"/>
        <v>בחירת מתחם תערך במרחב</v>
      </c>
      <c r="AE1417" s="43"/>
      <c r="AL1417" s="87" t="s">
        <v>819</v>
      </c>
      <c r="AM1417" s="86">
        <v>493082</v>
      </c>
    </row>
    <row r="1418" spans="13:39" hidden="1">
      <c r="M1418" s="152" t="s">
        <v>945</v>
      </c>
      <c r="N1418" s="225">
        <v>475034</v>
      </c>
      <c r="O1418" s="152" t="s">
        <v>244</v>
      </c>
      <c r="P1418" s="152" t="s">
        <v>245</v>
      </c>
      <c r="Q1418" s="133">
        <v>1135</v>
      </c>
      <c r="R1418" s="152" t="s">
        <v>279</v>
      </c>
      <c r="S1418" s="161" t="s">
        <v>11</v>
      </c>
      <c r="T1418" s="156">
        <v>42921</v>
      </c>
      <c r="U1418" s="172">
        <f t="shared" si="76"/>
        <v>2017</v>
      </c>
      <c r="V1418" s="172">
        <f t="shared" si="77"/>
        <v>7</v>
      </c>
      <c r="W1418" s="157" t="s">
        <v>946</v>
      </c>
      <c r="X1418" t="s">
        <v>892</v>
      </c>
      <c r="Y1418">
        <v>1</v>
      </c>
      <c r="AA1418" s="13" t="str">
        <f t="shared" si="75"/>
        <v>בחירת מתחם תערך במרחב</v>
      </c>
      <c r="AE1418" s="43"/>
      <c r="AL1418" s="87" t="s">
        <v>819</v>
      </c>
      <c r="AM1418" s="86">
        <v>493333</v>
      </c>
    </row>
    <row r="1419" spans="13:39" hidden="1">
      <c r="M1419" s="152" t="s">
        <v>945</v>
      </c>
      <c r="N1419" s="225">
        <v>475034</v>
      </c>
      <c r="O1419" s="152" t="s">
        <v>244</v>
      </c>
      <c r="P1419" s="152" t="s">
        <v>245</v>
      </c>
      <c r="Q1419" s="133">
        <v>1145</v>
      </c>
      <c r="R1419" s="152" t="s">
        <v>279</v>
      </c>
      <c r="S1419" s="161" t="s">
        <v>11</v>
      </c>
      <c r="T1419" s="156">
        <v>42921</v>
      </c>
      <c r="U1419" s="172">
        <f t="shared" si="76"/>
        <v>2017</v>
      </c>
      <c r="V1419" s="172">
        <f t="shared" si="77"/>
        <v>7</v>
      </c>
      <c r="W1419" s="157" t="s">
        <v>946</v>
      </c>
      <c r="X1419" t="s">
        <v>892</v>
      </c>
      <c r="Y1419">
        <v>1</v>
      </c>
      <c r="AA1419" s="13" t="str">
        <f t="shared" si="75"/>
        <v>בחירת מתחם תערך במרחב</v>
      </c>
      <c r="AE1419" s="43"/>
      <c r="AL1419" s="87" t="s">
        <v>819</v>
      </c>
      <c r="AM1419" s="86">
        <v>493333</v>
      </c>
    </row>
    <row r="1420" spans="13:39" hidden="1">
      <c r="M1420" s="152" t="s">
        <v>945</v>
      </c>
      <c r="N1420" s="225">
        <v>475034</v>
      </c>
      <c r="O1420" s="152" t="s">
        <v>244</v>
      </c>
      <c r="P1420" s="152" t="s">
        <v>245</v>
      </c>
      <c r="Q1420" s="133">
        <v>1147</v>
      </c>
      <c r="R1420" s="152" t="s">
        <v>279</v>
      </c>
      <c r="S1420" s="161" t="s">
        <v>11</v>
      </c>
      <c r="T1420" s="156">
        <v>42921</v>
      </c>
      <c r="U1420" s="172">
        <f t="shared" si="76"/>
        <v>2017</v>
      </c>
      <c r="V1420" s="172">
        <f t="shared" si="77"/>
        <v>7</v>
      </c>
      <c r="W1420" s="157" t="s">
        <v>946</v>
      </c>
      <c r="X1420" t="s">
        <v>892</v>
      </c>
      <c r="Y1420">
        <v>1</v>
      </c>
      <c r="AA1420" s="13" t="str">
        <f t="shared" si="75"/>
        <v>בחירת מתחם תערך במרחב</v>
      </c>
      <c r="AE1420" s="43"/>
      <c r="AL1420" s="87" t="s">
        <v>819</v>
      </c>
      <c r="AM1420" s="86">
        <v>493333</v>
      </c>
    </row>
    <row r="1421" spans="13:39" hidden="1">
      <c r="M1421" s="152" t="s">
        <v>945</v>
      </c>
      <c r="N1421" s="225">
        <v>475034</v>
      </c>
      <c r="O1421" s="152" t="s">
        <v>244</v>
      </c>
      <c r="P1421" s="152" t="s">
        <v>245</v>
      </c>
      <c r="Q1421" s="133">
        <v>1149</v>
      </c>
      <c r="R1421" s="152" t="s">
        <v>279</v>
      </c>
      <c r="S1421" s="161" t="s">
        <v>11</v>
      </c>
      <c r="T1421" s="156">
        <v>42921</v>
      </c>
      <c r="U1421" s="172">
        <f t="shared" si="76"/>
        <v>2017</v>
      </c>
      <c r="V1421" s="172">
        <f t="shared" si="77"/>
        <v>7</v>
      </c>
      <c r="W1421" s="157" t="s">
        <v>946</v>
      </c>
      <c r="X1421" t="s">
        <v>892</v>
      </c>
      <c r="Y1421">
        <v>1</v>
      </c>
      <c r="AA1421" s="13" t="str">
        <f t="shared" si="75"/>
        <v>בחירת מתחם תערך במרחב</v>
      </c>
      <c r="AE1421" s="43"/>
      <c r="AL1421" s="87" t="s">
        <v>819</v>
      </c>
      <c r="AM1421" s="86">
        <v>493333</v>
      </c>
    </row>
    <row r="1422" spans="13:39" hidden="1">
      <c r="M1422" s="152" t="s">
        <v>945</v>
      </c>
      <c r="N1422" s="225">
        <v>475034</v>
      </c>
      <c r="O1422" s="152" t="s">
        <v>244</v>
      </c>
      <c r="P1422" s="152" t="s">
        <v>245</v>
      </c>
      <c r="Q1422" s="133">
        <v>1150</v>
      </c>
      <c r="R1422" s="152" t="s">
        <v>279</v>
      </c>
      <c r="S1422" s="161" t="s">
        <v>11</v>
      </c>
      <c r="T1422" s="156">
        <v>42921</v>
      </c>
      <c r="U1422" s="172">
        <f t="shared" si="76"/>
        <v>2017</v>
      </c>
      <c r="V1422" s="172">
        <f t="shared" si="77"/>
        <v>7</v>
      </c>
      <c r="W1422" s="157" t="s">
        <v>946</v>
      </c>
      <c r="X1422" t="s">
        <v>892</v>
      </c>
      <c r="Y1422">
        <v>1</v>
      </c>
      <c r="AA1422" s="13" t="str">
        <f t="shared" si="75"/>
        <v>בחירת מתחם תערך במרחב</v>
      </c>
      <c r="AE1422" s="43"/>
      <c r="AL1422" s="87" t="s">
        <v>819</v>
      </c>
      <c r="AM1422" s="86">
        <v>493333</v>
      </c>
    </row>
    <row r="1423" spans="13:39" hidden="1">
      <c r="M1423" s="152" t="s">
        <v>945</v>
      </c>
      <c r="N1423" s="225">
        <v>475034</v>
      </c>
      <c r="O1423" s="152" t="s">
        <v>244</v>
      </c>
      <c r="P1423" s="152" t="s">
        <v>245</v>
      </c>
      <c r="Q1423" s="133">
        <v>1154</v>
      </c>
      <c r="R1423" s="152" t="s">
        <v>279</v>
      </c>
      <c r="S1423" s="161" t="s">
        <v>11</v>
      </c>
      <c r="T1423" s="156">
        <v>42921</v>
      </c>
      <c r="U1423" s="172">
        <f t="shared" si="76"/>
        <v>2017</v>
      </c>
      <c r="V1423" s="172">
        <f t="shared" si="77"/>
        <v>7</v>
      </c>
      <c r="W1423" s="157" t="s">
        <v>946</v>
      </c>
      <c r="X1423" t="s">
        <v>892</v>
      </c>
      <c r="Y1423">
        <v>1</v>
      </c>
      <c r="AA1423" s="13" t="str">
        <f t="shared" si="75"/>
        <v>בחירת מתחם תערך במרחב</v>
      </c>
      <c r="AE1423" s="43"/>
      <c r="AL1423" s="87" t="s">
        <v>819</v>
      </c>
      <c r="AM1423" s="86">
        <v>493333</v>
      </c>
    </row>
    <row r="1424" spans="13:39" hidden="1">
      <c r="M1424" s="152" t="s">
        <v>945</v>
      </c>
      <c r="N1424" s="225">
        <v>475034</v>
      </c>
      <c r="O1424" s="152" t="s">
        <v>244</v>
      </c>
      <c r="P1424" s="152" t="s">
        <v>245</v>
      </c>
      <c r="Q1424" s="133">
        <v>1155</v>
      </c>
      <c r="R1424" s="152" t="s">
        <v>279</v>
      </c>
      <c r="S1424" s="161" t="s">
        <v>11</v>
      </c>
      <c r="T1424" s="156">
        <v>42921</v>
      </c>
      <c r="U1424" s="172">
        <f t="shared" si="76"/>
        <v>2017</v>
      </c>
      <c r="V1424" s="172">
        <f t="shared" si="77"/>
        <v>7</v>
      </c>
      <c r="W1424" s="157" t="s">
        <v>946</v>
      </c>
      <c r="X1424" t="s">
        <v>892</v>
      </c>
      <c r="Y1424">
        <v>1</v>
      </c>
      <c r="AA1424" s="13" t="str">
        <f t="shared" si="75"/>
        <v>בחירת מתחם תערך במרחב</v>
      </c>
      <c r="AE1424" s="43"/>
      <c r="AL1424" s="87" t="s">
        <v>819</v>
      </c>
      <c r="AM1424" s="86">
        <v>493333</v>
      </c>
    </row>
    <row r="1425" spans="13:39" hidden="1">
      <c r="M1425" s="152" t="s">
        <v>945</v>
      </c>
      <c r="N1425" s="225">
        <v>475034</v>
      </c>
      <c r="O1425" s="152" t="s">
        <v>244</v>
      </c>
      <c r="P1425" s="152" t="s">
        <v>245</v>
      </c>
      <c r="Q1425" s="133">
        <v>1158</v>
      </c>
      <c r="R1425" s="152" t="s">
        <v>279</v>
      </c>
      <c r="S1425" s="161" t="s">
        <v>11</v>
      </c>
      <c r="T1425" s="156">
        <v>42921</v>
      </c>
      <c r="U1425" s="172">
        <f t="shared" si="76"/>
        <v>2017</v>
      </c>
      <c r="V1425" s="172">
        <f t="shared" si="77"/>
        <v>7</v>
      </c>
      <c r="W1425" s="157" t="s">
        <v>946</v>
      </c>
      <c r="X1425" t="s">
        <v>892</v>
      </c>
      <c r="Y1425">
        <v>1</v>
      </c>
      <c r="AA1425" s="13" t="str">
        <f t="shared" si="75"/>
        <v>בחירת מתחם תערך במרחב</v>
      </c>
      <c r="AE1425" s="43"/>
      <c r="AL1425" s="87" t="s">
        <v>819</v>
      </c>
      <c r="AM1425" s="86">
        <v>493333</v>
      </c>
    </row>
    <row r="1426" spans="13:39" hidden="1">
      <c r="M1426" s="152" t="s">
        <v>945</v>
      </c>
      <c r="N1426" s="225">
        <v>475034</v>
      </c>
      <c r="O1426" s="152" t="s">
        <v>244</v>
      </c>
      <c r="P1426" s="152" t="s">
        <v>245</v>
      </c>
      <c r="Q1426" s="133">
        <v>1159</v>
      </c>
      <c r="R1426" s="152" t="s">
        <v>279</v>
      </c>
      <c r="S1426" s="161" t="s">
        <v>11</v>
      </c>
      <c r="T1426" s="156">
        <v>42921</v>
      </c>
      <c r="U1426" s="172">
        <f t="shared" si="76"/>
        <v>2017</v>
      </c>
      <c r="V1426" s="172">
        <f t="shared" si="77"/>
        <v>7</v>
      </c>
      <c r="W1426" s="157" t="s">
        <v>946</v>
      </c>
      <c r="X1426" t="s">
        <v>892</v>
      </c>
      <c r="Y1426">
        <v>1</v>
      </c>
      <c r="AA1426" s="13" t="str">
        <f t="shared" si="75"/>
        <v>בחירת מתחם תערך במרחב</v>
      </c>
      <c r="AE1426" s="43"/>
      <c r="AL1426" s="87" t="s">
        <v>819</v>
      </c>
      <c r="AM1426" s="86">
        <v>493333</v>
      </c>
    </row>
    <row r="1427" spans="13:39" hidden="1">
      <c r="M1427" s="152" t="s">
        <v>945</v>
      </c>
      <c r="N1427" s="225">
        <v>476766</v>
      </c>
      <c r="O1427" s="152" t="s">
        <v>244</v>
      </c>
      <c r="P1427" s="152" t="s">
        <v>245</v>
      </c>
      <c r="Q1427" s="133">
        <v>1167</v>
      </c>
      <c r="R1427" s="152" t="s">
        <v>279</v>
      </c>
      <c r="S1427" s="161" t="s">
        <v>11</v>
      </c>
      <c r="T1427" s="156">
        <v>42921</v>
      </c>
      <c r="U1427" s="172">
        <f t="shared" si="76"/>
        <v>2017</v>
      </c>
      <c r="V1427" s="172">
        <f t="shared" si="77"/>
        <v>7</v>
      </c>
      <c r="W1427" s="157" t="s">
        <v>946</v>
      </c>
      <c r="X1427" t="s">
        <v>892</v>
      </c>
      <c r="Y1427">
        <v>1</v>
      </c>
      <c r="AA1427" s="13" t="str">
        <f t="shared" si="75"/>
        <v>בחירת מתחם תערך במרחב</v>
      </c>
      <c r="AE1427" s="43"/>
      <c r="AL1427" s="87" t="s">
        <v>819</v>
      </c>
      <c r="AM1427" s="86">
        <v>493333</v>
      </c>
    </row>
    <row r="1428" spans="13:39" hidden="1">
      <c r="M1428" s="152" t="s">
        <v>945</v>
      </c>
      <c r="N1428" s="225">
        <v>476766</v>
      </c>
      <c r="O1428" s="152" t="s">
        <v>244</v>
      </c>
      <c r="P1428" s="152" t="s">
        <v>245</v>
      </c>
      <c r="Q1428" s="133">
        <v>1171</v>
      </c>
      <c r="R1428" s="152" t="s">
        <v>279</v>
      </c>
      <c r="S1428" s="161" t="s">
        <v>11</v>
      </c>
      <c r="T1428" s="156">
        <v>42921</v>
      </c>
      <c r="U1428" s="172">
        <f t="shared" si="76"/>
        <v>2017</v>
      </c>
      <c r="V1428" s="172">
        <f t="shared" si="77"/>
        <v>7</v>
      </c>
      <c r="W1428" s="157" t="s">
        <v>946</v>
      </c>
      <c r="X1428" t="s">
        <v>892</v>
      </c>
      <c r="Y1428">
        <v>1</v>
      </c>
      <c r="AA1428" s="13" t="str">
        <f t="shared" si="75"/>
        <v>בחירת מתחם תערך במרחב</v>
      </c>
      <c r="AE1428" s="43"/>
      <c r="AL1428" s="87" t="s">
        <v>819</v>
      </c>
      <c r="AM1428" s="86">
        <v>493333</v>
      </c>
    </row>
    <row r="1429" spans="13:39" hidden="1">
      <c r="M1429" s="152" t="s">
        <v>945</v>
      </c>
      <c r="N1429" s="225">
        <v>465217</v>
      </c>
      <c r="O1429" s="152" t="s">
        <v>244</v>
      </c>
      <c r="P1429" s="152" t="s">
        <v>245</v>
      </c>
      <c r="Q1429" s="133">
        <v>1196</v>
      </c>
      <c r="R1429" s="152" t="s">
        <v>279</v>
      </c>
      <c r="S1429" s="161" t="s">
        <v>11</v>
      </c>
      <c r="T1429" s="156">
        <v>42921</v>
      </c>
      <c r="U1429" s="172">
        <f t="shared" si="76"/>
        <v>2017</v>
      </c>
      <c r="V1429" s="172">
        <f t="shared" si="77"/>
        <v>7</v>
      </c>
      <c r="W1429" s="157" t="s">
        <v>946</v>
      </c>
      <c r="X1429" t="s">
        <v>892</v>
      </c>
      <c r="Y1429">
        <v>1</v>
      </c>
      <c r="AA1429" s="13" t="str">
        <f t="shared" si="75"/>
        <v>בחירת מתחם תערך במרחב</v>
      </c>
      <c r="AE1429" s="43"/>
      <c r="AL1429" s="87" t="s">
        <v>819</v>
      </c>
      <c r="AM1429" s="86">
        <v>493333</v>
      </c>
    </row>
    <row r="1430" spans="13:39" hidden="1">
      <c r="M1430" s="152" t="s">
        <v>945</v>
      </c>
      <c r="N1430" s="225">
        <v>549365</v>
      </c>
      <c r="O1430" s="152" t="s">
        <v>244</v>
      </c>
      <c r="P1430" s="152" t="s">
        <v>245</v>
      </c>
      <c r="Q1430" s="133">
        <v>1235</v>
      </c>
      <c r="R1430" s="152" t="s">
        <v>279</v>
      </c>
      <c r="S1430" s="161" t="s">
        <v>11</v>
      </c>
      <c r="T1430" s="156">
        <v>42921</v>
      </c>
      <c r="U1430" s="172">
        <f t="shared" si="76"/>
        <v>2017</v>
      </c>
      <c r="V1430" s="172">
        <f t="shared" si="77"/>
        <v>7</v>
      </c>
      <c r="W1430" s="157" t="s">
        <v>946</v>
      </c>
      <c r="X1430" t="s">
        <v>892</v>
      </c>
      <c r="Y1430">
        <v>1</v>
      </c>
      <c r="AA1430" s="13" t="str">
        <f t="shared" si="75"/>
        <v>בחירת מתחם תערך במרחב</v>
      </c>
      <c r="AE1430" s="43"/>
      <c r="AL1430" s="87" t="s">
        <v>819</v>
      </c>
      <c r="AM1430" s="86">
        <v>493333</v>
      </c>
    </row>
    <row r="1431" spans="13:39" hidden="1">
      <c r="M1431" s="152" t="s">
        <v>945</v>
      </c>
      <c r="N1431" s="225">
        <v>521644</v>
      </c>
      <c r="O1431" s="152" t="s">
        <v>244</v>
      </c>
      <c r="P1431" s="152" t="s">
        <v>245</v>
      </c>
      <c r="Q1431" s="133">
        <v>1238</v>
      </c>
      <c r="R1431" s="152" t="s">
        <v>279</v>
      </c>
      <c r="S1431" s="161" t="s">
        <v>11</v>
      </c>
      <c r="T1431" s="156">
        <v>42921</v>
      </c>
      <c r="U1431" s="172">
        <f t="shared" si="76"/>
        <v>2017</v>
      </c>
      <c r="V1431" s="172">
        <f t="shared" si="77"/>
        <v>7</v>
      </c>
      <c r="W1431" s="157" t="s">
        <v>946</v>
      </c>
      <c r="X1431" t="s">
        <v>892</v>
      </c>
      <c r="Y1431">
        <v>1</v>
      </c>
      <c r="AA1431" s="13" t="str">
        <f t="shared" si="75"/>
        <v>בחירת מתחם תערך במרחב</v>
      </c>
      <c r="AE1431" s="43"/>
      <c r="AL1431" s="87" t="s">
        <v>819</v>
      </c>
      <c r="AM1431" s="86">
        <v>493333</v>
      </c>
    </row>
    <row r="1432" spans="13:39" hidden="1">
      <c r="M1432" s="152" t="s">
        <v>945</v>
      </c>
      <c r="N1432" s="225">
        <v>553984</v>
      </c>
      <c r="O1432" s="152" t="s">
        <v>244</v>
      </c>
      <c r="P1432" s="152" t="s">
        <v>245</v>
      </c>
      <c r="Q1432" s="133">
        <v>1250</v>
      </c>
      <c r="R1432" s="152" t="s">
        <v>279</v>
      </c>
      <c r="S1432" s="161" t="s">
        <v>11</v>
      </c>
      <c r="T1432" s="156">
        <v>42921</v>
      </c>
      <c r="U1432" s="172">
        <f t="shared" si="76"/>
        <v>2017</v>
      </c>
      <c r="V1432" s="172">
        <f t="shared" si="77"/>
        <v>7</v>
      </c>
      <c r="W1432" s="157" t="s">
        <v>946</v>
      </c>
      <c r="X1432" t="s">
        <v>892</v>
      </c>
      <c r="Y1432">
        <v>1</v>
      </c>
      <c r="AA1432" s="13" t="str">
        <f t="shared" si="75"/>
        <v>בחירת מתחם תערך במרחב</v>
      </c>
      <c r="AE1432" s="43"/>
      <c r="AL1432" s="87" t="s">
        <v>819</v>
      </c>
      <c r="AM1432" s="86">
        <v>493333</v>
      </c>
    </row>
    <row r="1433" spans="13:39" hidden="1">
      <c r="M1433" s="152" t="s">
        <v>945</v>
      </c>
      <c r="N1433" s="225">
        <v>484274</v>
      </c>
      <c r="O1433" s="152" t="s">
        <v>244</v>
      </c>
      <c r="P1433" s="152" t="s">
        <v>245</v>
      </c>
      <c r="Q1433" s="133">
        <v>1256</v>
      </c>
      <c r="R1433" s="152" t="s">
        <v>279</v>
      </c>
      <c r="S1433" s="161" t="s">
        <v>11</v>
      </c>
      <c r="T1433" s="156">
        <v>42921</v>
      </c>
      <c r="U1433" s="172">
        <f t="shared" si="76"/>
        <v>2017</v>
      </c>
      <c r="V1433" s="172">
        <f t="shared" si="77"/>
        <v>7</v>
      </c>
      <c r="W1433" s="157" t="s">
        <v>946</v>
      </c>
      <c r="X1433" t="s">
        <v>892</v>
      </c>
      <c r="Y1433">
        <v>1</v>
      </c>
      <c r="AA1433" s="13" t="str">
        <f t="shared" si="75"/>
        <v>בחירת מתחם תערך במרחב</v>
      </c>
      <c r="AE1433" s="43"/>
      <c r="AL1433" s="87" t="s">
        <v>819</v>
      </c>
      <c r="AM1433" s="86">
        <v>493333</v>
      </c>
    </row>
    <row r="1434" spans="13:39" hidden="1">
      <c r="M1434" s="152" t="s">
        <v>945</v>
      </c>
      <c r="N1434" s="225">
        <v>521644</v>
      </c>
      <c r="O1434" s="152" t="s">
        <v>244</v>
      </c>
      <c r="P1434" s="152" t="s">
        <v>245</v>
      </c>
      <c r="Q1434" s="133">
        <v>1258</v>
      </c>
      <c r="R1434" s="152" t="s">
        <v>279</v>
      </c>
      <c r="S1434" s="161" t="s">
        <v>11</v>
      </c>
      <c r="T1434" s="156">
        <v>42921</v>
      </c>
      <c r="U1434" s="172">
        <f t="shared" si="76"/>
        <v>2017</v>
      </c>
      <c r="V1434" s="172">
        <f t="shared" si="77"/>
        <v>7</v>
      </c>
      <c r="W1434" s="157" t="s">
        <v>946</v>
      </c>
      <c r="X1434" t="s">
        <v>892</v>
      </c>
      <c r="Y1434">
        <v>1</v>
      </c>
      <c r="AA1434" s="13" t="str">
        <f t="shared" si="75"/>
        <v>בחירת מתחם תערך במרחב</v>
      </c>
      <c r="AE1434" s="43"/>
      <c r="AL1434" s="87" t="s">
        <v>819</v>
      </c>
      <c r="AM1434" s="86">
        <v>493333</v>
      </c>
    </row>
    <row r="1435" spans="13:39" hidden="1">
      <c r="M1435" s="152" t="s">
        <v>945</v>
      </c>
      <c r="N1435" s="225">
        <v>521644</v>
      </c>
      <c r="O1435" s="152" t="s">
        <v>244</v>
      </c>
      <c r="P1435" s="152" t="s">
        <v>245</v>
      </c>
      <c r="Q1435" s="133">
        <v>1260</v>
      </c>
      <c r="R1435" s="152" t="s">
        <v>279</v>
      </c>
      <c r="S1435" s="161" t="s">
        <v>11</v>
      </c>
      <c r="T1435" s="156">
        <v>42921</v>
      </c>
      <c r="U1435" s="172">
        <f t="shared" si="76"/>
        <v>2017</v>
      </c>
      <c r="V1435" s="172">
        <f t="shared" si="77"/>
        <v>7</v>
      </c>
      <c r="W1435" s="157" t="s">
        <v>946</v>
      </c>
      <c r="X1435" t="s">
        <v>892</v>
      </c>
      <c r="Y1435">
        <v>1</v>
      </c>
      <c r="AA1435" s="13" t="str">
        <f t="shared" si="75"/>
        <v>בחירת מתחם תערך במרחב</v>
      </c>
      <c r="AE1435" s="43"/>
      <c r="AL1435" s="87" t="s">
        <v>819</v>
      </c>
      <c r="AM1435" s="86">
        <v>493333</v>
      </c>
    </row>
    <row r="1436" spans="13:39" hidden="1">
      <c r="M1436" s="152" t="s">
        <v>945</v>
      </c>
      <c r="N1436" s="225">
        <v>521644</v>
      </c>
      <c r="O1436" s="152" t="s">
        <v>244</v>
      </c>
      <c r="P1436" s="152" t="s">
        <v>245</v>
      </c>
      <c r="Q1436" s="133">
        <v>1262</v>
      </c>
      <c r="R1436" s="152" t="s">
        <v>279</v>
      </c>
      <c r="S1436" s="161" t="s">
        <v>11</v>
      </c>
      <c r="T1436" s="156">
        <v>42921</v>
      </c>
      <c r="U1436" s="172">
        <f t="shared" si="76"/>
        <v>2017</v>
      </c>
      <c r="V1436" s="172">
        <f t="shared" si="77"/>
        <v>7</v>
      </c>
      <c r="W1436" s="157" t="s">
        <v>946</v>
      </c>
      <c r="X1436" t="s">
        <v>892</v>
      </c>
      <c r="Y1436">
        <v>1</v>
      </c>
      <c r="AA1436" s="13" t="str">
        <f t="shared" si="75"/>
        <v>בחירת מתחם תערך במרחב</v>
      </c>
      <c r="AE1436" s="43"/>
      <c r="AL1436" s="87" t="s">
        <v>819</v>
      </c>
      <c r="AM1436" s="86">
        <v>493333</v>
      </c>
    </row>
    <row r="1437" spans="13:39" hidden="1">
      <c r="M1437" s="152" t="s">
        <v>945</v>
      </c>
      <c r="N1437" s="225">
        <v>521644</v>
      </c>
      <c r="O1437" s="152" t="s">
        <v>244</v>
      </c>
      <c r="P1437" s="152" t="s">
        <v>245</v>
      </c>
      <c r="Q1437" s="133">
        <v>1264</v>
      </c>
      <c r="R1437" s="152" t="s">
        <v>279</v>
      </c>
      <c r="S1437" s="161" t="s">
        <v>11</v>
      </c>
      <c r="T1437" s="156">
        <v>42921</v>
      </c>
      <c r="U1437" s="172">
        <f t="shared" si="76"/>
        <v>2017</v>
      </c>
      <c r="V1437" s="172">
        <f t="shared" si="77"/>
        <v>7</v>
      </c>
      <c r="W1437" s="157" t="s">
        <v>946</v>
      </c>
      <c r="X1437" t="s">
        <v>892</v>
      </c>
      <c r="Y1437">
        <v>1</v>
      </c>
      <c r="AA1437" s="13" t="str">
        <f t="shared" si="75"/>
        <v>בחירת מתחם תערך במרחב</v>
      </c>
      <c r="AE1437" s="43"/>
      <c r="AL1437" s="87" t="s">
        <v>819</v>
      </c>
      <c r="AM1437" s="86">
        <v>493333</v>
      </c>
    </row>
    <row r="1438" spans="13:39" hidden="1">
      <c r="M1438" s="152" t="s">
        <v>945</v>
      </c>
      <c r="N1438" s="225">
        <v>521644</v>
      </c>
      <c r="O1438" s="152" t="s">
        <v>244</v>
      </c>
      <c r="P1438" s="152" t="s">
        <v>245</v>
      </c>
      <c r="Q1438" s="133">
        <v>1265</v>
      </c>
      <c r="R1438" s="152" t="s">
        <v>279</v>
      </c>
      <c r="S1438" s="161" t="s">
        <v>11</v>
      </c>
      <c r="T1438" s="156">
        <v>42921</v>
      </c>
      <c r="U1438" s="172">
        <f t="shared" si="76"/>
        <v>2017</v>
      </c>
      <c r="V1438" s="172">
        <f t="shared" si="77"/>
        <v>7</v>
      </c>
      <c r="W1438" s="157" t="s">
        <v>946</v>
      </c>
      <c r="X1438" t="s">
        <v>892</v>
      </c>
      <c r="Y1438">
        <v>1</v>
      </c>
      <c r="AA1438" s="13" t="str">
        <f t="shared" si="75"/>
        <v>בחירת מתחם תערך במרחב</v>
      </c>
      <c r="AE1438" s="43"/>
      <c r="AL1438" s="87" t="s">
        <v>819</v>
      </c>
      <c r="AM1438" s="86">
        <v>493333</v>
      </c>
    </row>
    <row r="1439" spans="13:39" hidden="1">
      <c r="M1439" s="152" t="s">
        <v>945</v>
      </c>
      <c r="N1439" s="225">
        <v>521644</v>
      </c>
      <c r="O1439" s="152" t="s">
        <v>244</v>
      </c>
      <c r="P1439" s="152" t="s">
        <v>245</v>
      </c>
      <c r="Q1439" s="133">
        <v>1268</v>
      </c>
      <c r="R1439" s="152" t="s">
        <v>279</v>
      </c>
      <c r="S1439" s="161" t="s">
        <v>11</v>
      </c>
      <c r="T1439" s="156">
        <v>42921</v>
      </c>
      <c r="U1439" s="172">
        <f t="shared" si="76"/>
        <v>2017</v>
      </c>
      <c r="V1439" s="172">
        <f t="shared" si="77"/>
        <v>7</v>
      </c>
      <c r="W1439" s="157" t="s">
        <v>946</v>
      </c>
      <c r="X1439" t="s">
        <v>892</v>
      </c>
      <c r="Y1439">
        <v>1</v>
      </c>
      <c r="AA1439" s="13" t="str">
        <f t="shared" si="75"/>
        <v>בחירת מתחם תערך במרחב</v>
      </c>
      <c r="AE1439" s="43"/>
      <c r="AL1439" s="87" t="s">
        <v>819</v>
      </c>
      <c r="AM1439" s="86">
        <v>493333</v>
      </c>
    </row>
    <row r="1440" spans="13:39" hidden="1">
      <c r="M1440" s="152" t="s">
        <v>945</v>
      </c>
      <c r="N1440" s="225">
        <v>521644</v>
      </c>
      <c r="O1440" s="152" t="s">
        <v>244</v>
      </c>
      <c r="P1440" s="152" t="s">
        <v>245</v>
      </c>
      <c r="Q1440" s="133">
        <v>1270</v>
      </c>
      <c r="R1440" s="152" t="s">
        <v>279</v>
      </c>
      <c r="S1440" s="161" t="s">
        <v>11</v>
      </c>
      <c r="T1440" s="156">
        <v>42921</v>
      </c>
      <c r="U1440" s="172">
        <f t="shared" si="76"/>
        <v>2017</v>
      </c>
      <c r="V1440" s="172">
        <f t="shared" si="77"/>
        <v>7</v>
      </c>
      <c r="W1440" s="157" t="s">
        <v>946</v>
      </c>
      <c r="X1440" t="s">
        <v>892</v>
      </c>
      <c r="Y1440">
        <v>1</v>
      </c>
      <c r="AA1440" s="13" t="str">
        <f t="shared" si="75"/>
        <v>בחירת מתחם תערך במרחב</v>
      </c>
      <c r="AE1440" s="43"/>
      <c r="AL1440" s="87" t="s">
        <v>819</v>
      </c>
      <c r="AM1440" s="86">
        <v>493333</v>
      </c>
    </row>
    <row r="1441" spans="13:39" hidden="1">
      <c r="M1441" s="152" t="s">
        <v>945</v>
      </c>
      <c r="N1441" s="225">
        <v>521644</v>
      </c>
      <c r="O1441" s="152" t="s">
        <v>244</v>
      </c>
      <c r="P1441" s="152" t="s">
        <v>245</v>
      </c>
      <c r="Q1441" s="133">
        <v>1271</v>
      </c>
      <c r="R1441" s="152" t="s">
        <v>279</v>
      </c>
      <c r="S1441" s="161" t="s">
        <v>11</v>
      </c>
      <c r="T1441" s="156">
        <v>42921</v>
      </c>
      <c r="U1441" s="172">
        <f t="shared" si="76"/>
        <v>2017</v>
      </c>
      <c r="V1441" s="172">
        <f t="shared" si="77"/>
        <v>7</v>
      </c>
      <c r="W1441" s="157" t="s">
        <v>946</v>
      </c>
      <c r="X1441" t="s">
        <v>892</v>
      </c>
      <c r="Y1441">
        <v>1</v>
      </c>
      <c r="AA1441" s="13" t="str">
        <f t="shared" si="75"/>
        <v>בחירת מתחם תערך במרחב</v>
      </c>
      <c r="AE1441" s="43"/>
      <c r="AL1441" s="87" t="s">
        <v>819</v>
      </c>
      <c r="AM1441" s="86">
        <v>493828</v>
      </c>
    </row>
    <row r="1442" spans="13:39" hidden="1">
      <c r="M1442" s="152" t="s">
        <v>945</v>
      </c>
      <c r="N1442" s="225">
        <v>481964</v>
      </c>
      <c r="O1442" s="152" t="s">
        <v>244</v>
      </c>
      <c r="P1442" s="152" t="s">
        <v>245</v>
      </c>
      <c r="Q1442" s="133">
        <v>1276</v>
      </c>
      <c r="R1442" s="152" t="s">
        <v>279</v>
      </c>
      <c r="S1442" s="161" t="s">
        <v>11</v>
      </c>
      <c r="T1442" s="156">
        <v>42921</v>
      </c>
      <c r="U1442" s="172">
        <f t="shared" si="76"/>
        <v>2017</v>
      </c>
      <c r="V1442" s="172">
        <f t="shared" si="77"/>
        <v>7</v>
      </c>
      <c r="W1442" s="157" t="s">
        <v>946</v>
      </c>
      <c r="X1442" t="s">
        <v>892</v>
      </c>
      <c r="Y1442">
        <v>1</v>
      </c>
      <c r="AA1442" s="13" t="str">
        <f t="shared" si="75"/>
        <v>בחירת מתחם תערך במרחב</v>
      </c>
      <c r="AE1442" s="43"/>
      <c r="AL1442" s="87" t="s">
        <v>819</v>
      </c>
      <c r="AM1442" s="86">
        <v>493828</v>
      </c>
    </row>
    <row r="1443" spans="13:39" hidden="1">
      <c r="M1443" s="152" t="s">
        <v>945</v>
      </c>
      <c r="N1443" s="225">
        <v>479654</v>
      </c>
      <c r="O1443" s="152" t="s">
        <v>244</v>
      </c>
      <c r="P1443" s="152" t="s">
        <v>245</v>
      </c>
      <c r="Q1443" s="133">
        <v>1277</v>
      </c>
      <c r="R1443" s="152" t="s">
        <v>279</v>
      </c>
      <c r="S1443" s="161" t="s">
        <v>11</v>
      </c>
      <c r="T1443" s="156">
        <v>42921</v>
      </c>
      <c r="U1443" s="172">
        <f t="shared" si="76"/>
        <v>2017</v>
      </c>
      <c r="V1443" s="172">
        <f t="shared" si="77"/>
        <v>7</v>
      </c>
      <c r="W1443" s="157" t="s">
        <v>946</v>
      </c>
      <c r="X1443" t="s">
        <v>892</v>
      </c>
      <c r="Y1443">
        <v>1</v>
      </c>
      <c r="AA1443" s="13" t="str">
        <f t="shared" si="75"/>
        <v>בחירת מתחם תערך במרחב</v>
      </c>
      <c r="AE1443" s="43"/>
      <c r="AL1443" s="87" t="s">
        <v>819</v>
      </c>
      <c r="AM1443" s="86">
        <v>493828</v>
      </c>
    </row>
    <row r="1444" spans="13:39" hidden="1">
      <c r="M1444" s="152" t="s">
        <v>945</v>
      </c>
      <c r="N1444" s="225">
        <v>579433</v>
      </c>
      <c r="O1444" s="152" t="s">
        <v>244</v>
      </c>
      <c r="P1444" s="152" t="s">
        <v>245</v>
      </c>
      <c r="Q1444" s="133">
        <v>1294</v>
      </c>
      <c r="R1444" s="152" t="s">
        <v>279</v>
      </c>
      <c r="S1444" s="161" t="s">
        <v>11</v>
      </c>
      <c r="T1444" s="156">
        <v>42921</v>
      </c>
      <c r="U1444" s="172">
        <f t="shared" si="76"/>
        <v>2017</v>
      </c>
      <c r="V1444" s="172">
        <f t="shared" si="77"/>
        <v>7</v>
      </c>
      <c r="W1444" s="157" t="s">
        <v>946</v>
      </c>
      <c r="X1444" t="s">
        <v>892</v>
      </c>
      <c r="Y1444">
        <v>1</v>
      </c>
      <c r="AA1444" s="13" t="str">
        <f t="shared" si="75"/>
        <v>בחירת מתחם תערך במרחב</v>
      </c>
      <c r="AE1444" s="43"/>
      <c r="AL1444" s="87" t="s">
        <v>819</v>
      </c>
      <c r="AM1444" s="86">
        <v>493828</v>
      </c>
    </row>
    <row r="1445" spans="13:39" hidden="1">
      <c r="M1445" s="152" t="s">
        <v>945</v>
      </c>
      <c r="N1445" s="225">
        <v>586363</v>
      </c>
      <c r="O1445" s="152" t="s">
        <v>244</v>
      </c>
      <c r="P1445" s="152" t="s">
        <v>245</v>
      </c>
      <c r="Q1445" s="133">
        <v>1295</v>
      </c>
      <c r="R1445" s="152" t="s">
        <v>279</v>
      </c>
      <c r="S1445" s="161" t="s">
        <v>11</v>
      </c>
      <c r="T1445" s="156">
        <v>42921</v>
      </c>
      <c r="U1445" s="172">
        <f t="shared" si="76"/>
        <v>2017</v>
      </c>
      <c r="V1445" s="172">
        <f t="shared" si="77"/>
        <v>7</v>
      </c>
      <c r="W1445" s="157" t="s">
        <v>946</v>
      </c>
      <c r="X1445" t="s">
        <v>892</v>
      </c>
      <c r="Y1445">
        <v>1</v>
      </c>
      <c r="AA1445" s="13" t="str">
        <f t="shared" si="75"/>
        <v>בחירת מתחם תערך במרחב</v>
      </c>
      <c r="AE1445" s="43"/>
      <c r="AL1445" s="87" t="s">
        <v>819</v>
      </c>
      <c r="AM1445" s="86">
        <v>493828</v>
      </c>
    </row>
    <row r="1446" spans="13:39" hidden="1">
      <c r="M1446" s="152" t="s">
        <v>945</v>
      </c>
      <c r="N1446" s="225">
        <v>575967</v>
      </c>
      <c r="O1446" s="152" t="s">
        <v>244</v>
      </c>
      <c r="P1446" s="152" t="s">
        <v>245</v>
      </c>
      <c r="Q1446" s="133">
        <v>1296</v>
      </c>
      <c r="R1446" s="152" t="s">
        <v>279</v>
      </c>
      <c r="S1446" s="161" t="s">
        <v>11</v>
      </c>
      <c r="T1446" s="156">
        <v>42921</v>
      </c>
      <c r="U1446" s="172">
        <f t="shared" si="76"/>
        <v>2017</v>
      </c>
      <c r="V1446" s="172">
        <f t="shared" si="77"/>
        <v>7</v>
      </c>
      <c r="W1446" s="157" t="s">
        <v>946</v>
      </c>
      <c r="X1446" t="s">
        <v>892</v>
      </c>
      <c r="Y1446">
        <v>1</v>
      </c>
      <c r="AA1446" s="13" t="str">
        <f t="shared" si="75"/>
        <v>בחירת מתחם תערך במרחב</v>
      </c>
      <c r="AE1446" s="43"/>
      <c r="AL1446" s="87" t="s">
        <v>819</v>
      </c>
      <c r="AM1446" s="86">
        <v>493828</v>
      </c>
    </row>
    <row r="1447" spans="13:39" hidden="1">
      <c r="M1447" s="152" t="s">
        <v>945</v>
      </c>
      <c r="N1447" s="225">
        <v>583475</v>
      </c>
      <c r="O1447" s="152" t="s">
        <v>244</v>
      </c>
      <c r="P1447" s="152" t="s">
        <v>245</v>
      </c>
      <c r="Q1447" s="133">
        <v>1314</v>
      </c>
      <c r="R1447" s="152" t="s">
        <v>279</v>
      </c>
      <c r="S1447" s="161" t="s">
        <v>11</v>
      </c>
      <c r="T1447" s="156">
        <v>42921</v>
      </c>
      <c r="U1447" s="172">
        <f t="shared" si="76"/>
        <v>2017</v>
      </c>
      <c r="V1447" s="172">
        <f t="shared" si="77"/>
        <v>7</v>
      </c>
      <c r="W1447" s="157" t="s">
        <v>946</v>
      </c>
      <c r="X1447" t="s">
        <v>892</v>
      </c>
      <c r="Y1447">
        <v>1</v>
      </c>
      <c r="AA1447" s="13" t="str">
        <f t="shared" si="75"/>
        <v>בחירת מתחם תערך במרחב</v>
      </c>
      <c r="AE1447" s="43"/>
      <c r="AL1447" s="87" t="s">
        <v>819</v>
      </c>
      <c r="AM1447" s="86">
        <v>493828</v>
      </c>
    </row>
    <row r="1448" spans="13:39" hidden="1">
      <c r="M1448" s="152" t="s">
        <v>945</v>
      </c>
      <c r="N1448" s="225">
        <v>589250</v>
      </c>
      <c r="O1448" s="152" t="s">
        <v>244</v>
      </c>
      <c r="P1448" s="152" t="s">
        <v>245</v>
      </c>
      <c r="Q1448" s="133">
        <v>1315</v>
      </c>
      <c r="R1448" s="152" t="s">
        <v>279</v>
      </c>
      <c r="S1448" s="161" t="s">
        <v>11</v>
      </c>
      <c r="T1448" s="156">
        <v>42921</v>
      </c>
      <c r="U1448" s="172">
        <f t="shared" si="76"/>
        <v>2017</v>
      </c>
      <c r="V1448" s="172">
        <f t="shared" si="77"/>
        <v>7</v>
      </c>
      <c r="W1448" s="157" t="s">
        <v>946</v>
      </c>
      <c r="X1448" t="s">
        <v>892</v>
      </c>
      <c r="Y1448">
        <v>1</v>
      </c>
      <c r="AA1448" s="13" t="str">
        <f t="shared" si="75"/>
        <v>בחירת מתחם תערך במרחב</v>
      </c>
      <c r="AE1448" s="43"/>
      <c r="AL1448" s="87" t="s">
        <v>819</v>
      </c>
      <c r="AM1448" s="86">
        <v>493828</v>
      </c>
    </row>
    <row r="1449" spans="13:39" hidden="1">
      <c r="M1449" s="152" t="s">
        <v>945</v>
      </c>
      <c r="N1449" s="225">
        <v>548788</v>
      </c>
      <c r="O1449" s="152" t="s">
        <v>244</v>
      </c>
      <c r="P1449" s="152" t="s">
        <v>245</v>
      </c>
      <c r="Q1449" s="133">
        <v>1320</v>
      </c>
      <c r="R1449" s="152" t="s">
        <v>279</v>
      </c>
      <c r="S1449" s="161" t="s">
        <v>11</v>
      </c>
      <c r="T1449" s="156">
        <v>42921</v>
      </c>
      <c r="U1449" s="172">
        <f t="shared" si="76"/>
        <v>2017</v>
      </c>
      <c r="V1449" s="172">
        <f t="shared" si="77"/>
        <v>7</v>
      </c>
      <c r="W1449" s="157" t="s">
        <v>946</v>
      </c>
      <c r="X1449" t="s">
        <v>892</v>
      </c>
      <c r="Y1449">
        <v>1</v>
      </c>
      <c r="AA1449" s="13" t="str">
        <f t="shared" si="75"/>
        <v>בחירת מתחם תערך במרחב</v>
      </c>
      <c r="AE1449" s="43"/>
      <c r="AL1449" s="87" t="s">
        <v>819</v>
      </c>
      <c r="AM1449" s="86">
        <v>493828</v>
      </c>
    </row>
    <row r="1450" spans="13:39" hidden="1">
      <c r="M1450" s="152" t="s">
        <v>945</v>
      </c>
      <c r="N1450" s="225">
        <v>531463</v>
      </c>
      <c r="O1450" s="152" t="s">
        <v>244</v>
      </c>
      <c r="P1450" s="152" t="s">
        <v>245</v>
      </c>
      <c r="Q1450" s="133">
        <v>1335</v>
      </c>
      <c r="R1450" s="152" t="s">
        <v>279</v>
      </c>
      <c r="S1450" s="161" t="s">
        <v>11</v>
      </c>
      <c r="T1450" s="156">
        <v>42921</v>
      </c>
      <c r="U1450" s="172">
        <f t="shared" si="76"/>
        <v>2017</v>
      </c>
      <c r="V1450" s="172">
        <f t="shared" si="77"/>
        <v>7</v>
      </c>
      <c r="W1450" s="157" t="s">
        <v>946</v>
      </c>
      <c r="X1450" t="s">
        <v>892</v>
      </c>
      <c r="Y1450">
        <v>1</v>
      </c>
      <c r="AA1450" s="13" t="str">
        <f t="shared" si="75"/>
        <v>בחירת מתחם תערך במרחב</v>
      </c>
      <c r="AE1450" s="43"/>
      <c r="AL1450" s="87" t="s">
        <v>819</v>
      </c>
      <c r="AM1450" s="86">
        <v>493828</v>
      </c>
    </row>
    <row r="1451" spans="13:39" hidden="1">
      <c r="M1451" s="152" t="s">
        <v>945</v>
      </c>
      <c r="N1451" s="225">
        <v>549364</v>
      </c>
      <c r="O1451" s="152" t="s">
        <v>244</v>
      </c>
      <c r="P1451" s="152" t="s">
        <v>245</v>
      </c>
      <c r="Q1451" s="133">
        <v>1336</v>
      </c>
      <c r="R1451" s="152" t="s">
        <v>279</v>
      </c>
      <c r="S1451" s="161" t="s">
        <v>11</v>
      </c>
      <c r="T1451" s="156">
        <v>42921</v>
      </c>
      <c r="U1451" s="172">
        <f t="shared" si="76"/>
        <v>2017</v>
      </c>
      <c r="V1451" s="172">
        <f t="shared" si="77"/>
        <v>7</v>
      </c>
      <c r="W1451" s="157" t="s">
        <v>946</v>
      </c>
      <c r="X1451" t="s">
        <v>892</v>
      </c>
      <c r="Y1451">
        <v>1</v>
      </c>
      <c r="AA1451" s="13" t="str">
        <f t="shared" si="75"/>
        <v>בחירת מתחם תערך במרחב</v>
      </c>
      <c r="AE1451" s="43"/>
      <c r="AL1451" s="87" t="s">
        <v>819</v>
      </c>
      <c r="AM1451" s="86">
        <v>493828</v>
      </c>
    </row>
    <row r="1452" spans="13:39" hidden="1">
      <c r="M1452" s="152" t="s">
        <v>945</v>
      </c>
      <c r="N1452" s="225">
        <v>550520</v>
      </c>
      <c r="O1452" s="152" t="s">
        <v>244</v>
      </c>
      <c r="P1452" s="152" t="s">
        <v>245</v>
      </c>
      <c r="Q1452" s="133">
        <v>1354</v>
      </c>
      <c r="R1452" s="152" t="s">
        <v>279</v>
      </c>
      <c r="S1452" s="161" t="s">
        <v>11</v>
      </c>
      <c r="T1452" s="156">
        <v>42921</v>
      </c>
      <c r="U1452" s="172">
        <f t="shared" si="76"/>
        <v>2017</v>
      </c>
      <c r="V1452" s="172">
        <f t="shared" si="77"/>
        <v>7</v>
      </c>
      <c r="W1452" s="157" t="s">
        <v>946</v>
      </c>
      <c r="X1452" t="s">
        <v>892</v>
      </c>
      <c r="Y1452">
        <v>1</v>
      </c>
      <c r="AA1452" s="13" t="str">
        <f t="shared" si="75"/>
        <v>בחירת מתחם תערך במרחב</v>
      </c>
      <c r="AE1452" s="43"/>
      <c r="AL1452" s="87" t="s">
        <v>819</v>
      </c>
      <c r="AM1452" s="86">
        <v>493828</v>
      </c>
    </row>
    <row r="1453" spans="13:39" hidden="1">
      <c r="M1453" s="152" t="s">
        <v>945</v>
      </c>
      <c r="N1453" s="225">
        <v>649274</v>
      </c>
      <c r="O1453" s="152" t="s">
        <v>244</v>
      </c>
      <c r="P1453" s="152" t="s">
        <v>245</v>
      </c>
      <c r="Q1453" s="133">
        <v>1360</v>
      </c>
      <c r="R1453" s="152" t="s">
        <v>279</v>
      </c>
      <c r="S1453" s="161" t="s">
        <v>11</v>
      </c>
      <c r="T1453" s="156">
        <v>42921</v>
      </c>
      <c r="U1453" s="172">
        <f t="shared" si="76"/>
        <v>2017</v>
      </c>
      <c r="V1453" s="172">
        <f t="shared" si="77"/>
        <v>7</v>
      </c>
      <c r="W1453" s="157" t="s">
        <v>946</v>
      </c>
      <c r="X1453" t="s">
        <v>892</v>
      </c>
      <c r="Y1453">
        <v>1</v>
      </c>
      <c r="AA1453" s="13" t="str">
        <f t="shared" si="75"/>
        <v>בחירת מתחם תערך במרחב</v>
      </c>
      <c r="AE1453" s="43"/>
      <c r="AL1453" s="87" t="s">
        <v>819</v>
      </c>
      <c r="AM1453" s="86">
        <v>493828</v>
      </c>
    </row>
    <row r="1454" spans="13:39" hidden="1">
      <c r="M1454" s="152" t="s">
        <v>945</v>
      </c>
      <c r="N1454" s="225">
        <v>488317</v>
      </c>
      <c r="O1454" s="152" t="s">
        <v>244</v>
      </c>
      <c r="P1454" s="152" t="s">
        <v>245</v>
      </c>
      <c r="Q1454" s="133">
        <v>1370</v>
      </c>
      <c r="R1454" s="152" t="s">
        <v>279</v>
      </c>
      <c r="S1454" s="161" t="s">
        <v>11</v>
      </c>
      <c r="T1454" s="156">
        <v>42921</v>
      </c>
      <c r="U1454" s="172">
        <f t="shared" si="76"/>
        <v>2017</v>
      </c>
      <c r="V1454" s="172">
        <f t="shared" si="77"/>
        <v>7</v>
      </c>
      <c r="W1454" s="157" t="s">
        <v>946</v>
      </c>
      <c r="X1454" t="s">
        <v>892</v>
      </c>
      <c r="Y1454">
        <v>1</v>
      </c>
      <c r="AA1454" s="13" t="str">
        <f t="shared" si="75"/>
        <v>בחירת מתחם תערך במרחב</v>
      </c>
      <c r="AE1454" s="43"/>
      <c r="AL1454" s="87" t="s">
        <v>819</v>
      </c>
      <c r="AM1454" s="86">
        <v>493828</v>
      </c>
    </row>
    <row r="1455" spans="13:39" hidden="1">
      <c r="M1455" s="152" t="s">
        <v>945</v>
      </c>
      <c r="N1455" s="225">
        <v>561529</v>
      </c>
      <c r="O1455" s="152" t="s">
        <v>244</v>
      </c>
      <c r="P1455" s="152" t="s">
        <v>245</v>
      </c>
      <c r="Q1455" s="133">
        <v>1373</v>
      </c>
      <c r="R1455" s="152" t="s">
        <v>279</v>
      </c>
      <c r="S1455" s="161" t="s">
        <v>11</v>
      </c>
      <c r="T1455" s="156">
        <v>42921</v>
      </c>
      <c r="U1455" s="172">
        <f t="shared" si="76"/>
        <v>2017</v>
      </c>
      <c r="V1455" s="172">
        <f t="shared" si="77"/>
        <v>7</v>
      </c>
      <c r="W1455" s="157" t="s">
        <v>946</v>
      </c>
      <c r="X1455" t="s">
        <v>892</v>
      </c>
      <c r="Y1455">
        <v>1</v>
      </c>
      <c r="AA1455" s="13" t="str">
        <f t="shared" si="75"/>
        <v>בחירת מתחם תערך במרחב</v>
      </c>
      <c r="AE1455" s="43"/>
      <c r="AL1455" s="87" t="s">
        <v>819</v>
      </c>
      <c r="AM1455" s="86">
        <v>493828</v>
      </c>
    </row>
    <row r="1456" spans="13:39" hidden="1">
      <c r="M1456" s="152" t="s">
        <v>945</v>
      </c>
      <c r="N1456" s="225">
        <v>538429</v>
      </c>
      <c r="O1456" s="152" t="s">
        <v>244</v>
      </c>
      <c r="P1456" s="152" t="s">
        <v>245</v>
      </c>
      <c r="Q1456" s="133">
        <v>1375</v>
      </c>
      <c r="R1456" s="152" t="s">
        <v>279</v>
      </c>
      <c r="S1456" s="161" t="s">
        <v>11</v>
      </c>
      <c r="T1456" s="156">
        <v>42921</v>
      </c>
      <c r="U1456" s="172">
        <f t="shared" si="76"/>
        <v>2017</v>
      </c>
      <c r="V1456" s="172">
        <f t="shared" si="77"/>
        <v>7</v>
      </c>
      <c r="W1456" s="157" t="s">
        <v>946</v>
      </c>
      <c r="X1456" t="s">
        <v>892</v>
      </c>
      <c r="Y1456">
        <v>1</v>
      </c>
      <c r="AA1456" s="13" t="str">
        <f t="shared" si="75"/>
        <v>בחירת מתחם תערך במרחב</v>
      </c>
      <c r="AE1456" s="43"/>
      <c r="AL1456" s="87" t="s">
        <v>819</v>
      </c>
      <c r="AM1456" s="86">
        <v>493828</v>
      </c>
    </row>
    <row r="1457" spans="13:39" hidden="1">
      <c r="M1457" s="152" t="s">
        <v>945</v>
      </c>
      <c r="N1457" s="225">
        <v>539008</v>
      </c>
      <c r="O1457" s="152" t="s">
        <v>244</v>
      </c>
      <c r="P1457" s="152" t="s">
        <v>245</v>
      </c>
      <c r="Q1457" s="133">
        <v>1376</v>
      </c>
      <c r="R1457" s="152" t="s">
        <v>279</v>
      </c>
      <c r="S1457" s="161" t="s">
        <v>11</v>
      </c>
      <c r="T1457" s="156">
        <v>42921</v>
      </c>
      <c r="U1457" s="172">
        <f t="shared" si="76"/>
        <v>2017</v>
      </c>
      <c r="V1457" s="172">
        <f t="shared" si="77"/>
        <v>7</v>
      </c>
      <c r="W1457" s="157" t="s">
        <v>946</v>
      </c>
      <c r="X1457" t="s">
        <v>892</v>
      </c>
      <c r="Y1457">
        <v>1</v>
      </c>
      <c r="AA1457" s="13" t="str">
        <f t="shared" si="75"/>
        <v>בחירת מתחם תערך במרחב</v>
      </c>
      <c r="AB1457" t="s">
        <v>893</v>
      </c>
      <c r="AE1457" s="43"/>
      <c r="AL1457" s="87" t="s">
        <v>819</v>
      </c>
      <c r="AM1457" s="86">
        <v>493828</v>
      </c>
    </row>
    <row r="1458" spans="13:39" hidden="1">
      <c r="M1458" s="152" t="s">
        <v>945</v>
      </c>
      <c r="N1458" s="225">
        <v>540161</v>
      </c>
      <c r="O1458" s="152" t="s">
        <v>244</v>
      </c>
      <c r="P1458" s="152" t="s">
        <v>245</v>
      </c>
      <c r="Q1458" s="133">
        <v>1377</v>
      </c>
      <c r="R1458" s="152" t="s">
        <v>279</v>
      </c>
      <c r="S1458" s="161" t="s">
        <v>11</v>
      </c>
      <c r="T1458" s="156">
        <v>42921</v>
      </c>
      <c r="U1458" s="172">
        <f t="shared" si="76"/>
        <v>2017</v>
      </c>
      <c r="V1458" s="172">
        <f t="shared" si="77"/>
        <v>7</v>
      </c>
      <c r="W1458" s="157" t="s">
        <v>946</v>
      </c>
      <c r="X1458" t="s">
        <v>892</v>
      </c>
      <c r="Y1458">
        <v>1</v>
      </c>
      <c r="AA1458" s="13" t="str">
        <f t="shared" si="75"/>
        <v>בחירת מתחם תערך במרחב</v>
      </c>
      <c r="AE1458" s="43"/>
      <c r="AL1458" s="87" t="s">
        <v>819</v>
      </c>
      <c r="AM1458" s="86">
        <v>493828</v>
      </c>
    </row>
    <row r="1459" spans="13:39" hidden="1">
      <c r="M1459" s="152" t="s">
        <v>945</v>
      </c>
      <c r="N1459" s="225">
        <v>539585</v>
      </c>
      <c r="O1459" s="152" t="s">
        <v>244</v>
      </c>
      <c r="P1459" s="152" t="s">
        <v>245</v>
      </c>
      <c r="Q1459" s="133">
        <v>1379</v>
      </c>
      <c r="R1459" s="152" t="s">
        <v>279</v>
      </c>
      <c r="S1459" s="161" t="s">
        <v>11</v>
      </c>
      <c r="T1459" s="156">
        <v>42921</v>
      </c>
      <c r="U1459" s="172">
        <f t="shared" si="76"/>
        <v>2017</v>
      </c>
      <c r="V1459" s="172">
        <f t="shared" si="77"/>
        <v>7</v>
      </c>
      <c r="W1459" s="157" t="s">
        <v>946</v>
      </c>
      <c r="X1459" t="s">
        <v>892</v>
      </c>
      <c r="Y1459">
        <v>1</v>
      </c>
      <c r="AA1459" s="13" t="str">
        <f t="shared" si="75"/>
        <v>בחירת מתחם תערך במרחב</v>
      </c>
      <c r="AE1459" s="43"/>
      <c r="AL1459" s="87" t="s">
        <v>819</v>
      </c>
      <c r="AM1459" s="86">
        <v>493828</v>
      </c>
    </row>
    <row r="1460" spans="13:39" hidden="1">
      <c r="M1460" s="152" t="s">
        <v>945</v>
      </c>
      <c r="N1460" s="225">
        <v>544782</v>
      </c>
      <c r="O1460" s="152" t="s">
        <v>244</v>
      </c>
      <c r="P1460" s="152" t="s">
        <v>245</v>
      </c>
      <c r="Q1460" s="133">
        <v>1380</v>
      </c>
      <c r="R1460" s="152" t="s">
        <v>279</v>
      </c>
      <c r="S1460" s="161" t="s">
        <v>11</v>
      </c>
      <c r="T1460" s="156">
        <v>42921</v>
      </c>
      <c r="U1460" s="172">
        <f t="shared" si="76"/>
        <v>2017</v>
      </c>
      <c r="V1460" s="172">
        <f t="shared" si="77"/>
        <v>7</v>
      </c>
      <c r="W1460" s="157" t="s">
        <v>946</v>
      </c>
      <c r="X1460" t="s">
        <v>892</v>
      </c>
      <c r="Y1460">
        <v>1</v>
      </c>
      <c r="AA1460" s="13" t="str">
        <f t="shared" si="75"/>
        <v>בחירת מתחם תערך במרחב</v>
      </c>
      <c r="AE1460" s="43"/>
      <c r="AL1460" s="87" t="s">
        <v>819</v>
      </c>
      <c r="AM1460" s="86">
        <v>493828</v>
      </c>
    </row>
    <row r="1461" spans="13:39" hidden="1">
      <c r="M1461" s="152" t="s">
        <v>945</v>
      </c>
      <c r="N1461" s="225">
        <v>522259</v>
      </c>
      <c r="O1461" s="152" t="s">
        <v>244</v>
      </c>
      <c r="P1461" s="152" t="s">
        <v>245</v>
      </c>
      <c r="Q1461" s="133">
        <v>1382</v>
      </c>
      <c r="R1461" s="152" t="s">
        <v>279</v>
      </c>
      <c r="S1461" s="161" t="s">
        <v>11</v>
      </c>
      <c r="T1461" s="156">
        <v>42921</v>
      </c>
      <c r="U1461" s="172">
        <f t="shared" si="76"/>
        <v>2017</v>
      </c>
      <c r="V1461" s="172">
        <f t="shared" si="77"/>
        <v>7</v>
      </c>
      <c r="W1461" s="157" t="s">
        <v>946</v>
      </c>
      <c r="X1461" t="s">
        <v>892</v>
      </c>
      <c r="Y1461">
        <v>1</v>
      </c>
      <c r="AA1461" s="13" t="str">
        <f t="shared" si="75"/>
        <v>בחירת מתחם תערך במרחב</v>
      </c>
      <c r="AE1461" s="43"/>
      <c r="AL1461" s="87" t="s">
        <v>819</v>
      </c>
      <c r="AM1461" s="86">
        <v>493828</v>
      </c>
    </row>
    <row r="1462" spans="13:39" hidden="1">
      <c r="M1462" s="152" t="s">
        <v>945</v>
      </c>
      <c r="N1462" s="225">
        <v>523415</v>
      </c>
      <c r="O1462" s="152" t="s">
        <v>244</v>
      </c>
      <c r="P1462" s="152" t="s">
        <v>245</v>
      </c>
      <c r="Q1462" s="133">
        <v>1383</v>
      </c>
      <c r="R1462" s="152" t="s">
        <v>279</v>
      </c>
      <c r="S1462" s="161" t="s">
        <v>11</v>
      </c>
      <c r="T1462" s="156">
        <v>42921</v>
      </c>
      <c r="U1462" s="172">
        <f t="shared" si="76"/>
        <v>2017</v>
      </c>
      <c r="V1462" s="172">
        <f t="shared" si="77"/>
        <v>7</v>
      </c>
      <c r="W1462" s="157" t="s">
        <v>946</v>
      </c>
      <c r="X1462" t="s">
        <v>892</v>
      </c>
      <c r="Y1462">
        <v>1</v>
      </c>
      <c r="AA1462" s="13" t="str">
        <f t="shared" si="75"/>
        <v>בחירת מתחם תערך במרחב</v>
      </c>
      <c r="AE1462" s="43"/>
      <c r="AL1462" s="87" t="s">
        <v>819</v>
      </c>
      <c r="AM1462" s="86">
        <v>493828</v>
      </c>
    </row>
    <row r="1463" spans="13:39" hidden="1">
      <c r="M1463" s="152" t="s">
        <v>945</v>
      </c>
      <c r="N1463" s="225">
        <v>528612</v>
      </c>
      <c r="O1463" s="152" t="s">
        <v>244</v>
      </c>
      <c r="P1463" s="152" t="s">
        <v>245</v>
      </c>
      <c r="Q1463" s="133">
        <v>1384</v>
      </c>
      <c r="R1463" s="152" t="s">
        <v>279</v>
      </c>
      <c r="S1463" s="161" t="s">
        <v>11</v>
      </c>
      <c r="T1463" s="156">
        <v>42921</v>
      </c>
      <c r="U1463" s="172">
        <f t="shared" si="76"/>
        <v>2017</v>
      </c>
      <c r="V1463" s="172">
        <f t="shared" si="77"/>
        <v>7</v>
      </c>
      <c r="W1463" s="157" t="s">
        <v>946</v>
      </c>
      <c r="X1463" t="s">
        <v>892</v>
      </c>
      <c r="Y1463">
        <v>1</v>
      </c>
      <c r="AA1463" s="13" t="str">
        <f t="shared" si="75"/>
        <v>בחירת מתחם תערך במרחב</v>
      </c>
      <c r="AE1463" s="43"/>
      <c r="AL1463" s="87" t="s">
        <v>819</v>
      </c>
      <c r="AM1463" s="86">
        <v>493828</v>
      </c>
    </row>
    <row r="1464" spans="13:39" hidden="1">
      <c r="M1464" s="152" t="s">
        <v>945</v>
      </c>
      <c r="N1464" s="225">
        <v>531500</v>
      </c>
      <c r="O1464" s="152" t="s">
        <v>244</v>
      </c>
      <c r="P1464" s="152" t="s">
        <v>245</v>
      </c>
      <c r="Q1464" s="133">
        <v>1385</v>
      </c>
      <c r="R1464" s="152" t="s">
        <v>279</v>
      </c>
      <c r="S1464" s="161" t="s">
        <v>11</v>
      </c>
      <c r="T1464" s="156">
        <v>42921</v>
      </c>
      <c r="U1464" s="172">
        <f t="shared" si="76"/>
        <v>2017</v>
      </c>
      <c r="V1464" s="172">
        <f t="shared" si="77"/>
        <v>7</v>
      </c>
      <c r="W1464" s="157" t="s">
        <v>946</v>
      </c>
      <c r="X1464" t="s">
        <v>892</v>
      </c>
      <c r="Y1464">
        <v>1</v>
      </c>
      <c r="AA1464" s="13" t="str">
        <f t="shared" si="75"/>
        <v>בחירת מתחם תערך במרחב</v>
      </c>
      <c r="AE1464" s="43"/>
      <c r="AL1464" s="87" t="s">
        <v>819</v>
      </c>
      <c r="AM1464" s="86">
        <v>493828</v>
      </c>
    </row>
    <row r="1465" spans="13:39" hidden="1">
      <c r="M1465" s="152" t="s">
        <v>945</v>
      </c>
      <c r="N1465" s="225">
        <v>475034</v>
      </c>
      <c r="O1465" s="152" t="s">
        <v>244</v>
      </c>
      <c r="P1465" s="152" t="s">
        <v>245</v>
      </c>
      <c r="Q1465" s="133">
        <v>1390</v>
      </c>
      <c r="R1465" s="152" t="s">
        <v>279</v>
      </c>
      <c r="S1465" s="161" t="s">
        <v>11</v>
      </c>
      <c r="T1465" s="156">
        <v>42921</v>
      </c>
      <c r="U1465" s="172">
        <f t="shared" si="76"/>
        <v>2017</v>
      </c>
      <c r="V1465" s="172">
        <f t="shared" si="77"/>
        <v>7</v>
      </c>
      <c r="W1465" s="157" t="s">
        <v>946</v>
      </c>
      <c r="X1465" t="s">
        <v>892</v>
      </c>
      <c r="Y1465">
        <v>1</v>
      </c>
      <c r="AA1465" s="13" t="str">
        <f t="shared" si="75"/>
        <v>בחירת מתחם תערך במרחב</v>
      </c>
      <c r="AE1465" s="43"/>
      <c r="AL1465" s="87" t="s">
        <v>819</v>
      </c>
      <c r="AM1465" s="86">
        <v>493828</v>
      </c>
    </row>
    <row r="1466" spans="13:39" hidden="1">
      <c r="M1466" s="152" t="s">
        <v>945</v>
      </c>
      <c r="N1466" s="225">
        <v>475034</v>
      </c>
      <c r="O1466" s="152" t="s">
        <v>244</v>
      </c>
      <c r="P1466" s="152" t="s">
        <v>245</v>
      </c>
      <c r="Q1466" s="133">
        <v>1395</v>
      </c>
      <c r="R1466" s="152" t="s">
        <v>279</v>
      </c>
      <c r="S1466" s="161" t="s">
        <v>11</v>
      </c>
      <c r="T1466" s="156">
        <v>42921</v>
      </c>
      <c r="U1466" s="172">
        <f t="shared" si="76"/>
        <v>2017</v>
      </c>
      <c r="V1466" s="172">
        <f t="shared" si="77"/>
        <v>7</v>
      </c>
      <c r="W1466" s="157" t="s">
        <v>946</v>
      </c>
      <c r="X1466" t="s">
        <v>892</v>
      </c>
      <c r="Y1466">
        <v>1</v>
      </c>
      <c r="AA1466" s="13" t="str">
        <f t="shared" si="75"/>
        <v>בחירת מתחם תערך במרחב</v>
      </c>
      <c r="AE1466" s="43"/>
      <c r="AL1466" s="87" t="s">
        <v>819</v>
      </c>
      <c r="AM1466" s="86">
        <v>493828</v>
      </c>
    </row>
    <row r="1467" spans="13:39" hidden="1">
      <c r="M1467" s="152" t="s">
        <v>945</v>
      </c>
      <c r="N1467" s="225">
        <v>475034</v>
      </c>
      <c r="O1467" s="152" t="s">
        <v>244</v>
      </c>
      <c r="P1467" s="152" t="s">
        <v>245</v>
      </c>
      <c r="Q1467" s="133">
        <v>1396</v>
      </c>
      <c r="R1467" s="152" t="s">
        <v>279</v>
      </c>
      <c r="S1467" s="161" t="s">
        <v>11</v>
      </c>
      <c r="T1467" s="156">
        <v>42921</v>
      </c>
      <c r="U1467" s="172">
        <f t="shared" si="76"/>
        <v>2017</v>
      </c>
      <c r="V1467" s="172">
        <f t="shared" si="77"/>
        <v>7</v>
      </c>
      <c r="W1467" s="157" t="s">
        <v>946</v>
      </c>
      <c r="X1467" t="s">
        <v>892</v>
      </c>
      <c r="Y1467">
        <v>1</v>
      </c>
      <c r="AA1467" s="13" t="str">
        <f t="shared" si="75"/>
        <v>בחירת מתחם תערך במרחב</v>
      </c>
      <c r="AE1467" s="43"/>
      <c r="AL1467" s="87" t="s">
        <v>819</v>
      </c>
      <c r="AM1467" s="86">
        <v>493828</v>
      </c>
    </row>
    <row r="1468" spans="13:39" hidden="1">
      <c r="M1468" s="152" t="s">
        <v>945</v>
      </c>
      <c r="N1468" s="225">
        <v>475034</v>
      </c>
      <c r="O1468" s="152" t="s">
        <v>244</v>
      </c>
      <c r="P1468" s="152" t="s">
        <v>245</v>
      </c>
      <c r="Q1468" s="133">
        <v>1404</v>
      </c>
      <c r="R1468" s="152" t="s">
        <v>279</v>
      </c>
      <c r="S1468" s="161" t="s">
        <v>11</v>
      </c>
      <c r="T1468" s="156">
        <v>42921</v>
      </c>
      <c r="U1468" s="172">
        <f t="shared" si="76"/>
        <v>2017</v>
      </c>
      <c r="V1468" s="172">
        <f t="shared" si="77"/>
        <v>7</v>
      </c>
      <c r="W1468" s="157" t="s">
        <v>946</v>
      </c>
      <c r="X1468" t="s">
        <v>892</v>
      </c>
      <c r="Y1468">
        <v>1</v>
      </c>
      <c r="AA1468" s="13" t="str">
        <f t="shared" si="75"/>
        <v>בחירת מתחם תערך במרחב</v>
      </c>
      <c r="AE1468" s="43"/>
      <c r="AL1468" s="87" t="s">
        <v>819</v>
      </c>
      <c r="AM1468" s="86">
        <v>493828</v>
      </c>
    </row>
    <row r="1469" spans="13:39" hidden="1">
      <c r="M1469" s="152" t="s">
        <v>945</v>
      </c>
      <c r="N1469" s="225">
        <v>475034</v>
      </c>
      <c r="O1469" s="152" t="s">
        <v>244</v>
      </c>
      <c r="P1469" s="152" t="s">
        <v>245</v>
      </c>
      <c r="Q1469" s="133">
        <v>1405</v>
      </c>
      <c r="R1469" s="152" t="s">
        <v>279</v>
      </c>
      <c r="S1469" s="161" t="s">
        <v>11</v>
      </c>
      <c r="T1469" s="156">
        <v>42921</v>
      </c>
      <c r="U1469" s="172">
        <f t="shared" si="76"/>
        <v>2017</v>
      </c>
      <c r="V1469" s="172">
        <f t="shared" si="77"/>
        <v>7</v>
      </c>
      <c r="W1469" s="157" t="s">
        <v>946</v>
      </c>
      <c r="X1469" t="s">
        <v>892</v>
      </c>
      <c r="Y1469">
        <v>1</v>
      </c>
      <c r="AA1469" s="13" t="str">
        <f t="shared" si="75"/>
        <v>בחירת מתחם תערך במרחב</v>
      </c>
      <c r="AE1469" s="43"/>
      <c r="AL1469" s="87" t="s">
        <v>819</v>
      </c>
      <c r="AM1469" s="86">
        <v>493828</v>
      </c>
    </row>
    <row r="1470" spans="13:39" hidden="1">
      <c r="M1470" s="152" t="s">
        <v>945</v>
      </c>
      <c r="N1470" s="225">
        <v>526265</v>
      </c>
      <c r="O1470" s="152" t="s">
        <v>244</v>
      </c>
      <c r="P1470" s="152" t="s">
        <v>245</v>
      </c>
      <c r="Q1470" s="133">
        <v>1410</v>
      </c>
      <c r="R1470" s="152" t="s">
        <v>279</v>
      </c>
      <c r="S1470" s="161" t="s">
        <v>11</v>
      </c>
      <c r="T1470" s="156">
        <v>42921</v>
      </c>
      <c r="U1470" s="172">
        <f t="shared" si="76"/>
        <v>2017</v>
      </c>
      <c r="V1470" s="172">
        <f t="shared" si="77"/>
        <v>7</v>
      </c>
      <c r="W1470" s="157" t="s">
        <v>946</v>
      </c>
      <c r="X1470" t="s">
        <v>892</v>
      </c>
      <c r="Y1470">
        <v>1</v>
      </c>
      <c r="AA1470" s="13" t="str">
        <f t="shared" si="75"/>
        <v>בחירת מתחם תערך במרחב</v>
      </c>
      <c r="AE1470" s="43"/>
      <c r="AL1470" s="87" t="s">
        <v>819</v>
      </c>
      <c r="AM1470" s="86">
        <v>493828</v>
      </c>
    </row>
    <row r="1471" spans="13:39" hidden="1">
      <c r="M1471" s="152" t="s">
        <v>945</v>
      </c>
      <c r="N1471" s="225">
        <v>548788</v>
      </c>
      <c r="O1471" s="152" t="s">
        <v>244</v>
      </c>
      <c r="P1471" s="152" t="s">
        <v>245</v>
      </c>
      <c r="Q1471" s="133">
        <v>1424</v>
      </c>
      <c r="R1471" s="152" t="s">
        <v>279</v>
      </c>
      <c r="S1471" s="161" t="s">
        <v>11</v>
      </c>
      <c r="T1471" s="156">
        <v>42921</v>
      </c>
      <c r="U1471" s="172">
        <f t="shared" si="76"/>
        <v>2017</v>
      </c>
      <c r="V1471" s="172">
        <f t="shared" si="77"/>
        <v>7</v>
      </c>
      <c r="W1471" s="157" t="s">
        <v>946</v>
      </c>
      <c r="X1471" t="s">
        <v>892</v>
      </c>
      <c r="Y1471">
        <v>1</v>
      </c>
      <c r="AA1471" s="13" t="str">
        <f t="shared" si="75"/>
        <v>בחירת מתחם תערך במרחב</v>
      </c>
      <c r="AE1471" s="43"/>
      <c r="AL1471" s="87" t="s">
        <v>819</v>
      </c>
      <c r="AM1471" s="86">
        <v>493828</v>
      </c>
    </row>
    <row r="1472" spans="13:39" hidden="1">
      <c r="M1472" s="152" t="s">
        <v>945</v>
      </c>
      <c r="N1472" s="225">
        <v>541280</v>
      </c>
      <c r="O1472" s="152" t="s">
        <v>244</v>
      </c>
      <c r="P1472" s="152" t="s">
        <v>245</v>
      </c>
      <c r="Q1472" s="133">
        <v>1426</v>
      </c>
      <c r="R1472" s="152" t="s">
        <v>279</v>
      </c>
      <c r="S1472" s="161" t="s">
        <v>11</v>
      </c>
      <c r="T1472" s="156">
        <v>42921</v>
      </c>
      <c r="U1472" s="172">
        <f t="shared" si="76"/>
        <v>2017</v>
      </c>
      <c r="V1472" s="172">
        <f t="shared" si="77"/>
        <v>7</v>
      </c>
      <c r="W1472" s="157" t="s">
        <v>946</v>
      </c>
      <c r="X1472" t="s">
        <v>892</v>
      </c>
      <c r="Y1472">
        <v>1</v>
      </c>
      <c r="AA1472" s="13" t="str">
        <f t="shared" si="75"/>
        <v>בחירת מתחם תערך במרחב</v>
      </c>
      <c r="AE1472" s="43"/>
      <c r="AL1472" s="87" t="s">
        <v>819</v>
      </c>
      <c r="AM1472" s="86">
        <v>493828</v>
      </c>
    </row>
    <row r="1473" spans="13:39" hidden="1">
      <c r="M1473" s="152" t="s">
        <v>945</v>
      </c>
      <c r="N1473" s="225">
        <v>559760</v>
      </c>
      <c r="O1473" s="152" t="s">
        <v>244</v>
      </c>
      <c r="P1473" s="152" t="s">
        <v>245</v>
      </c>
      <c r="Q1473" s="133">
        <v>1428</v>
      </c>
      <c r="R1473" s="152" t="s">
        <v>279</v>
      </c>
      <c r="S1473" s="161" t="s">
        <v>11</v>
      </c>
      <c r="T1473" s="156">
        <v>42921</v>
      </c>
      <c r="U1473" s="172">
        <f t="shared" si="76"/>
        <v>2017</v>
      </c>
      <c r="V1473" s="172">
        <f t="shared" si="77"/>
        <v>7</v>
      </c>
      <c r="W1473" s="157" t="s">
        <v>946</v>
      </c>
      <c r="X1473" t="s">
        <v>892</v>
      </c>
      <c r="Y1473">
        <v>1</v>
      </c>
      <c r="AA1473" s="13" t="str">
        <f t="shared" si="75"/>
        <v>בחירת מתחם תערך במרחב</v>
      </c>
      <c r="AE1473" s="43"/>
      <c r="AL1473" s="87" t="s">
        <v>819</v>
      </c>
      <c r="AM1473" s="86">
        <v>493828</v>
      </c>
    </row>
    <row r="1474" spans="13:39" hidden="1">
      <c r="M1474" s="152" t="s">
        <v>945</v>
      </c>
      <c r="N1474" s="225">
        <v>543012</v>
      </c>
      <c r="O1474" s="152" t="s">
        <v>244</v>
      </c>
      <c r="P1474" s="152" t="s">
        <v>245</v>
      </c>
      <c r="Q1474" s="133">
        <v>1433</v>
      </c>
      <c r="R1474" s="152" t="s">
        <v>279</v>
      </c>
      <c r="S1474" s="161" t="s">
        <v>11</v>
      </c>
      <c r="T1474" s="156">
        <v>42921</v>
      </c>
      <c r="U1474" s="172">
        <f t="shared" si="76"/>
        <v>2017</v>
      </c>
      <c r="V1474" s="172">
        <f t="shared" si="77"/>
        <v>7</v>
      </c>
      <c r="W1474" s="157" t="s">
        <v>946</v>
      </c>
      <c r="X1474" t="s">
        <v>892</v>
      </c>
      <c r="Y1474">
        <v>1</v>
      </c>
      <c r="AA1474" s="13" t="str">
        <f t="shared" si="75"/>
        <v>בחירת מתחם תערך במרחב</v>
      </c>
      <c r="AE1474" s="43"/>
      <c r="AL1474" s="87" t="s">
        <v>819</v>
      </c>
      <c r="AM1474" s="86">
        <v>493828</v>
      </c>
    </row>
    <row r="1475" spans="13:39" hidden="1">
      <c r="M1475" s="152" t="s">
        <v>945</v>
      </c>
      <c r="N1475" s="225">
        <v>521644</v>
      </c>
      <c r="O1475" s="152" t="s">
        <v>244</v>
      </c>
      <c r="P1475" s="152" t="s">
        <v>245</v>
      </c>
      <c r="Q1475" s="133">
        <v>1445</v>
      </c>
      <c r="R1475" s="152" t="s">
        <v>279</v>
      </c>
      <c r="S1475" s="161" t="s">
        <v>11</v>
      </c>
      <c r="T1475" s="156">
        <v>42921</v>
      </c>
      <c r="U1475" s="172">
        <f t="shared" si="76"/>
        <v>2017</v>
      </c>
      <c r="V1475" s="172">
        <f t="shared" si="77"/>
        <v>7</v>
      </c>
      <c r="W1475" s="157" t="s">
        <v>946</v>
      </c>
      <c r="X1475" t="s">
        <v>892</v>
      </c>
      <c r="Y1475">
        <v>1</v>
      </c>
      <c r="AA1475" s="13" t="str">
        <f t="shared" si="75"/>
        <v>בחירת מתחם תערך במרחב</v>
      </c>
      <c r="AE1475" s="43"/>
      <c r="AL1475" s="87" t="s">
        <v>819</v>
      </c>
      <c r="AM1475" s="86">
        <v>493828</v>
      </c>
    </row>
    <row r="1476" spans="13:39" hidden="1">
      <c r="M1476" s="152" t="s">
        <v>945</v>
      </c>
      <c r="N1476" s="225">
        <v>521644</v>
      </c>
      <c r="O1476" s="152" t="s">
        <v>244</v>
      </c>
      <c r="P1476" s="152" t="s">
        <v>245</v>
      </c>
      <c r="Q1476" s="133">
        <v>1446</v>
      </c>
      <c r="R1476" s="152" t="s">
        <v>279</v>
      </c>
      <c r="S1476" s="161" t="s">
        <v>11</v>
      </c>
      <c r="T1476" s="156">
        <v>42921</v>
      </c>
      <c r="U1476" s="172">
        <f t="shared" si="76"/>
        <v>2017</v>
      </c>
      <c r="V1476" s="172">
        <f t="shared" si="77"/>
        <v>7</v>
      </c>
      <c r="W1476" s="157" t="s">
        <v>946</v>
      </c>
      <c r="X1476" t="s">
        <v>892</v>
      </c>
      <c r="Y1476">
        <v>1</v>
      </c>
      <c r="AA1476" s="13" t="str">
        <f t="shared" ref="AA1476:AA1539" si="78">IF(M1476&lt;30000,Y1476*100*M1476*(1-$L$1)-$L$2*Y1476,M1476)</f>
        <v>בחירת מתחם תערך במרחב</v>
      </c>
      <c r="AB1476" s="14">
        <v>0.85</v>
      </c>
      <c r="AE1476" s="43"/>
      <c r="AL1476" s="87" t="s">
        <v>819</v>
      </c>
      <c r="AM1476" s="86">
        <v>493828</v>
      </c>
    </row>
    <row r="1477" spans="13:39" hidden="1">
      <c r="M1477" s="152" t="s">
        <v>945</v>
      </c>
      <c r="N1477" s="225">
        <v>521644</v>
      </c>
      <c r="O1477" s="152" t="s">
        <v>244</v>
      </c>
      <c r="P1477" s="152" t="s">
        <v>245</v>
      </c>
      <c r="Q1477" s="133">
        <v>1448</v>
      </c>
      <c r="R1477" s="152" t="s">
        <v>279</v>
      </c>
      <c r="S1477" s="161" t="s">
        <v>11</v>
      </c>
      <c r="T1477" s="156">
        <v>42921</v>
      </c>
      <c r="U1477" s="172">
        <f t="shared" si="76"/>
        <v>2017</v>
      </c>
      <c r="V1477" s="172">
        <f t="shared" si="77"/>
        <v>7</v>
      </c>
      <c r="W1477" s="157" t="s">
        <v>946</v>
      </c>
      <c r="X1477" t="s">
        <v>892</v>
      </c>
      <c r="Y1477">
        <v>1</v>
      </c>
      <c r="AA1477" s="13" t="str">
        <f t="shared" si="78"/>
        <v>בחירת מתחם תערך במרחב</v>
      </c>
      <c r="AE1477" s="43"/>
      <c r="AL1477" s="87" t="s">
        <v>819</v>
      </c>
      <c r="AM1477" s="86">
        <v>494324</v>
      </c>
    </row>
    <row r="1478" spans="13:39" hidden="1">
      <c r="M1478" s="152" t="s">
        <v>945</v>
      </c>
      <c r="N1478" s="225">
        <v>550520</v>
      </c>
      <c r="O1478" s="152" t="s">
        <v>244</v>
      </c>
      <c r="P1478" s="152" t="s">
        <v>245</v>
      </c>
      <c r="Q1478" s="133">
        <v>1459</v>
      </c>
      <c r="R1478" s="152" t="s">
        <v>279</v>
      </c>
      <c r="S1478" s="161" t="s">
        <v>11</v>
      </c>
      <c r="T1478" s="156">
        <v>42921</v>
      </c>
      <c r="U1478" s="172">
        <f t="shared" si="76"/>
        <v>2017</v>
      </c>
      <c r="V1478" s="172">
        <f t="shared" si="77"/>
        <v>7</v>
      </c>
      <c r="W1478" s="157" t="s">
        <v>946</v>
      </c>
      <c r="X1478" t="s">
        <v>892</v>
      </c>
      <c r="Y1478">
        <v>1</v>
      </c>
      <c r="AA1478" s="13" t="str">
        <f t="shared" si="78"/>
        <v>בחירת מתחם תערך במרחב</v>
      </c>
      <c r="AE1478" s="43"/>
      <c r="AL1478" s="87" t="s">
        <v>819</v>
      </c>
      <c r="AM1478" s="86">
        <v>494324</v>
      </c>
    </row>
    <row r="1479" spans="13:39" hidden="1">
      <c r="M1479" s="152" t="s">
        <v>945</v>
      </c>
      <c r="N1479" s="225">
        <v>549365</v>
      </c>
      <c r="O1479" s="152" t="s">
        <v>244</v>
      </c>
      <c r="P1479" s="152" t="s">
        <v>245</v>
      </c>
      <c r="Q1479" s="133">
        <v>1467</v>
      </c>
      <c r="R1479" s="152" t="s">
        <v>279</v>
      </c>
      <c r="S1479" s="161" t="s">
        <v>11</v>
      </c>
      <c r="T1479" s="156">
        <v>42921</v>
      </c>
      <c r="U1479" s="172">
        <f t="shared" ref="U1479:U1542" si="79">YEAR($T1479)</f>
        <v>2017</v>
      </c>
      <c r="V1479" s="172">
        <f t="shared" ref="V1479:V1542" si="80">MONTH($T1479)</f>
        <v>7</v>
      </c>
      <c r="W1479" s="157" t="s">
        <v>946</v>
      </c>
      <c r="X1479" t="s">
        <v>892</v>
      </c>
      <c r="Y1479">
        <v>1</v>
      </c>
      <c r="AA1479" s="13" t="str">
        <f t="shared" si="78"/>
        <v>בחירת מתחם תערך במרחב</v>
      </c>
      <c r="AE1479" s="43"/>
      <c r="AL1479" s="87" t="s">
        <v>819</v>
      </c>
      <c r="AM1479" s="86">
        <v>494819</v>
      </c>
    </row>
    <row r="1480" spans="13:39" hidden="1">
      <c r="M1480" s="152" t="s">
        <v>945</v>
      </c>
      <c r="N1480" s="225">
        <v>554563</v>
      </c>
      <c r="O1480" s="152" t="s">
        <v>244</v>
      </c>
      <c r="P1480" s="152" t="s">
        <v>245</v>
      </c>
      <c r="Q1480" s="133">
        <v>1473</v>
      </c>
      <c r="R1480" s="152" t="s">
        <v>279</v>
      </c>
      <c r="S1480" s="161" t="s">
        <v>11</v>
      </c>
      <c r="T1480" s="156">
        <v>42921</v>
      </c>
      <c r="U1480" s="172">
        <f t="shared" si="79"/>
        <v>2017</v>
      </c>
      <c r="V1480" s="172">
        <f t="shared" si="80"/>
        <v>7</v>
      </c>
      <c r="W1480" s="157" t="s">
        <v>946</v>
      </c>
      <c r="X1480" t="s">
        <v>892</v>
      </c>
      <c r="Y1480">
        <v>1</v>
      </c>
      <c r="AA1480" s="13" t="str">
        <f t="shared" si="78"/>
        <v>בחירת מתחם תערך במרחב</v>
      </c>
      <c r="AE1480" s="43"/>
      <c r="AL1480" s="87" t="s">
        <v>819</v>
      </c>
      <c r="AM1480" s="86">
        <v>495316</v>
      </c>
    </row>
    <row r="1481" spans="13:39" hidden="1">
      <c r="M1481" s="152" t="s">
        <v>945</v>
      </c>
      <c r="N1481" s="225">
        <v>549365</v>
      </c>
      <c r="O1481" s="152" t="s">
        <v>244</v>
      </c>
      <c r="P1481" s="152" t="s">
        <v>245</v>
      </c>
      <c r="Q1481" s="133">
        <v>1474</v>
      </c>
      <c r="R1481" s="152" t="s">
        <v>279</v>
      </c>
      <c r="S1481" s="161" t="s">
        <v>11</v>
      </c>
      <c r="T1481" s="156">
        <v>42921</v>
      </c>
      <c r="U1481" s="172">
        <f t="shared" si="79"/>
        <v>2017</v>
      </c>
      <c r="V1481" s="172">
        <f t="shared" si="80"/>
        <v>7</v>
      </c>
      <c r="W1481" s="157" t="s">
        <v>946</v>
      </c>
      <c r="X1481" t="s">
        <v>892</v>
      </c>
      <c r="Y1481">
        <v>1</v>
      </c>
      <c r="AA1481" s="13" t="str">
        <f t="shared" si="78"/>
        <v>בחירת מתחם תערך במרחב</v>
      </c>
      <c r="AB1481" s="14">
        <v>0.85</v>
      </c>
      <c r="AE1481" s="43"/>
      <c r="AL1481" s="87" t="s">
        <v>819</v>
      </c>
      <c r="AM1481" s="86">
        <v>496307</v>
      </c>
    </row>
    <row r="1482" spans="13:39" hidden="1">
      <c r="M1482" s="152" t="s">
        <v>945</v>
      </c>
      <c r="N1482" s="225">
        <v>582283</v>
      </c>
      <c r="O1482" s="152" t="s">
        <v>244</v>
      </c>
      <c r="P1482" s="152" t="s">
        <v>245</v>
      </c>
      <c r="Q1482" s="133">
        <v>1499</v>
      </c>
      <c r="R1482" s="152" t="s">
        <v>279</v>
      </c>
      <c r="S1482" s="161" t="s">
        <v>11</v>
      </c>
      <c r="T1482" s="156">
        <v>42921</v>
      </c>
      <c r="U1482" s="172">
        <f t="shared" si="79"/>
        <v>2017</v>
      </c>
      <c r="V1482" s="172">
        <f t="shared" si="80"/>
        <v>7</v>
      </c>
      <c r="W1482" s="157" t="s">
        <v>946</v>
      </c>
      <c r="X1482" t="s">
        <v>892</v>
      </c>
      <c r="Y1482">
        <v>1</v>
      </c>
      <c r="AA1482" s="13" t="str">
        <f t="shared" si="78"/>
        <v>בחירת מתחם תערך במרחב</v>
      </c>
      <c r="AB1482" s="14">
        <v>0.85</v>
      </c>
      <c r="AE1482" s="43"/>
      <c r="AL1482" s="87" t="s">
        <v>819</v>
      </c>
      <c r="AM1482" s="86">
        <v>496445</v>
      </c>
    </row>
    <row r="1483" spans="13:39" hidden="1">
      <c r="M1483" s="152" t="s">
        <v>945</v>
      </c>
      <c r="N1483" s="225">
        <v>521644</v>
      </c>
      <c r="O1483" s="152" t="s">
        <v>244</v>
      </c>
      <c r="P1483" s="152" t="s">
        <v>245</v>
      </c>
      <c r="Q1483" s="133">
        <v>1508</v>
      </c>
      <c r="R1483" s="152" t="s">
        <v>279</v>
      </c>
      <c r="S1483" s="161" t="s">
        <v>11</v>
      </c>
      <c r="T1483" s="156">
        <v>42921</v>
      </c>
      <c r="U1483" s="172">
        <f t="shared" si="79"/>
        <v>2017</v>
      </c>
      <c r="V1483" s="172">
        <f t="shared" si="80"/>
        <v>7</v>
      </c>
      <c r="W1483" s="157" t="s">
        <v>946</v>
      </c>
      <c r="X1483" t="s">
        <v>892</v>
      </c>
      <c r="Y1483">
        <v>1</v>
      </c>
      <c r="AA1483" s="13" t="str">
        <f t="shared" si="78"/>
        <v>בחירת מתחם תערך במרחב</v>
      </c>
      <c r="AE1483" s="43"/>
      <c r="AL1483" s="87" t="s">
        <v>819</v>
      </c>
      <c r="AM1483" s="86">
        <v>4966475</v>
      </c>
    </row>
    <row r="1484" spans="13:39" hidden="1">
      <c r="M1484" s="152" t="s">
        <v>945</v>
      </c>
      <c r="N1484" s="225">
        <v>521644</v>
      </c>
      <c r="O1484" s="152" t="s">
        <v>244</v>
      </c>
      <c r="P1484" s="152" t="s">
        <v>245</v>
      </c>
      <c r="Q1484" s="133">
        <v>1509</v>
      </c>
      <c r="R1484" s="152" t="s">
        <v>279</v>
      </c>
      <c r="S1484" s="161" t="s">
        <v>11</v>
      </c>
      <c r="T1484" s="156">
        <v>42921</v>
      </c>
      <c r="U1484" s="172">
        <f t="shared" si="79"/>
        <v>2017</v>
      </c>
      <c r="V1484" s="172">
        <f t="shared" si="80"/>
        <v>7</v>
      </c>
      <c r="W1484" s="157" t="s">
        <v>946</v>
      </c>
      <c r="X1484" t="s">
        <v>892</v>
      </c>
      <c r="Y1484">
        <v>1</v>
      </c>
      <c r="AA1484" s="13" t="str">
        <f t="shared" si="78"/>
        <v>בחירת מתחם תערך במרחב</v>
      </c>
      <c r="AB1484" s="14">
        <v>0.85</v>
      </c>
      <c r="AE1484" s="43"/>
      <c r="AL1484" s="87" t="s">
        <v>819</v>
      </c>
      <c r="AM1484" s="86">
        <v>496802</v>
      </c>
    </row>
    <row r="1485" spans="13:39" hidden="1">
      <c r="M1485" s="152" t="s">
        <v>945</v>
      </c>
      <c r="N1485" s="225">
        <v>521644</v>
      </c>
      <c r="O1485" s="152" t="s">
        <v>244</v>
      </c>
      <c r="P1485" s="152" t="s">
        <v>245</v>
      </c>
      <c r="Q1485" s="133">
        <v>1521</v>
      </c>
      <c r="R1485" s="152" t="s">
        <v>279</v>
      </c>
      <c r="S1485" s="161" t="s">
        <v>11</v>
      </c>
      <c r="T1485" s="156">
        <v>42921</v>
      </c>
      <c r="U1485" s="172">
        <f t="shared" si="79"/>
        <v>2017</v>
      </c>
      <c r="V1485" s="172">
        <f t="shared" si="80"/>
        <v>7</v>
      </c>
      <c r="W1485" s="157" t="s">
        <v>946</v>
      </c>
      <c r="X1485" t="s">
        <v>892</v>
      </c>
      <c r="Y1485">
        <v>1</v>
      </c>
      <c r="AA1485" s="13" t="str">
        <f t="shared" si="78"/>
        <v>בחירת מתחם תערך במרחב</v>
      </c>
      <c r="AB1485" s="14">
        <v>0.85</v>
      </c>
      <c r="AE1485" s="43"/>
      <c r="AL1485" s="87" t="s">
        <v>819</v>
      </c>
      <c r="AM1485" s="86">
        <v>497793</v>
      </c>
    </row>
    <row r="1486" spans="13:39" hidden="1">
      <c r="M1486" s="152" t="s">
        <v>945</v>
      </c>
      <c r="N1486" s="225">
        <v>521644</v>
      </c>
      <c r="O1486" s="152" t="s">
        <v>244</v>
      </c>
      <c r="P1486" s="152" t="s">
        <v>245</v>
      </c>
      <c r="Q1486" s="133">
        <v>1524</v>
      </c>
      <c r="R1486" s="152" t="s">
        <v>279</v>
      </c>
      <c r="S1486" s="161" t="s">
        <v>11</v>
      </c>
      <c r="T1486" s="156">
        <v>42921</v>
      </c>
      <c r="U1486" s="172">
        <f t="shared" si="79"/>
        <v>2017</v>
      </c>
      <c r="V1486" s="172">
        <f t="shared" si="80"/>
        <v>7</v>
      </c>
      <c r="W1486" s="157" t="s">
        <v>946</v>
      </c>
      <c r="X1486" t="s">
        <v>892</v>
      </c>
      <c r="Y1486">
        <v>1</v>
      </c>
      <c r="AA1486" s="13" t="str">
        <f t="shared" si="78"/>
        <v>בחירת מתחם תערך במרחב</v>
      </c>
      <c r="AB1486" s="14">
        <v>0.85</v>
      </c>
      <c r="AE1486" s="43"/>
      <c r="AL1486" s="87" t="s">
        <v>819</v>
      </c>
      <c r="AM1486" s="86">
        <v>497793</v>
      </c>
    </row>
    <row r="1487" spans="13:39" hidden="1">
      <c r="M1487" s="152" t="s">
        <v>945</v>
      </c>
      <c r="N1487" s="225">
        <v>521644</v>
      </c>
      <c r="O1487" s="152" t="s">
        <v>244</v>
      </c>
      <c r="P1487" s="152" t="s">
        <v>245</v>
      </c>
      <c r="Q1487" s="133">
        <v>1525</v>
      </c>
      <c r="R1487" s="152" t="s">
        <v>279</v>
      </c>
      <c r="S1487" s="161" t="s">
        <v>11</v>
      </c>
      <c r="T1487" s="156">
        <v>42921</v>
      </c>
      <c r="U1487" s="172">
        <f t="shared" si="79"/>
        <v>2017</v>
      </c>
      <c r="V1487" s="172">
        <f t="shared" si="80"/>
        <v>7</v>
      </c>
      <c r="W1487" s="157" t="s">
        <v>946</v>
      </c>
      <c r="X1487" t="s">
        <v>892</v>
      </c>
      <c r="Y1487">
        <v>1</v>
      </c>
      <c r="AA1487" s="13" t="str">
        <f t="shared" si="78"/>
        <v>בחירת מתחם תערך במרחב</v>
      </c>
      <c r="AE1487" s="43"/>
      <c r="AL1487" s="87" t="s">
        <v>819</v>
      </c>
      <c r="AM1487" s="86">
        <v>498654</v>
      </c>
    </row>
    <row r="1488" spans="13:39" hidden="1">
      <c r="M1488" s="152" t="s">
        <v>945</v>
      </c>
      <c r="N1488" s="225">
        <v>524532</v>
      </c>
      <c r="O1488" s="152" t="s">
        <v>244</v>
      </c>
      <c r="P1488" s="152" t="s">
        <v>245</v>
      </c>
      <c r="Q1488" s="133">
        <v>1542</v>
      </c>
      <c r="R1488" s="152" t="s">
        <v>279</v>
      </c>
      <c r="S1488" s="161" t="s">
        <v>11</v>
      </c>
      <c r="T1488" s="156">
        <v>42921</v>
      </c>
      <c r="U1488" s="172">
        <f t="shared" si="79"/>
        <v>2017</v>
      </c>
      <c r="V1488" s="172">
        <f t="shared" si="80"/>
        <v>7</v>
      </c>
      <c r="W1488" s="157" t="s">
        <v>946</v>
      </c>
      <c r="X1488" t="s">
        <v>892</v>
      </c>
      <c r="Y1488">
        <v>1</v>
      </c>
      <c r="AA1488" s="13" t="str">
        <f t="shared" si="78"/>
        <v>בחירת מתחם תערך במרחב</v>
      </c>
      <c r="AE1488" s="43"/>
      <c r="AL1488" s="87" t="s">
        <v>819</v>
      </c>
      <c r="AM1488" s="86">
        <v>499279</v>
      </c>
    </row>
    <row r="1489" spans="13:39" hidden="1">
      <c r="M1489" s="152" t="s">
        <v>945</v>
      </c>
      <c r="N1489" s="225">
        <v>552252</v>
      </c>
      <c r="O1489" s="152" t="s">
        <v>244</v>
      </c>
      <c r="P1489" s="152" t="s">
        <v>245</v>
      </c>
      <c r="Q1489" s="133">
        <v>1545</v>
      </c>
      <c r="R1489" s="152" t="s">
        <v>279</v>
      </c>
      <c r="S1489" s="161" t="s">
        <v>11</v>
      </c>
      <c r="T1489" s="156">
        <v>42921</v>
      </c>
      <c r="U1489" s="172">
        <f t="shared" si="79"/>
        <v>2017</v>
      </c>
      <c r="V1489" s="172">
        <f t="shared" si="80"/>
        <v>7</v>
      </c>
      <c r="W1489" s="157" t="s">
        <v>946</v>
      </c>
      <c r="X1489" t="s">
        <v>892</v>
      </c>
      <c r="Y1489">
        <v>1</v>
      </c>
      <c r="AA1489" s="13" t="str">
        <f t="shared" si="78"/>
        <v>בחירת מתחם תערך במרחב</v>
      </c>
      <c r="AB1489" s="14">
        <v>0.85</v>
      </c>
      <c r="AE1489" s="43"/>
      <c r="AL1489" s="87" t="s">
        <v>819</v>
      </c>
      <c r="AM1489" s="86">
        <v>499279</v>
      </c>
    </row>
    <row r="1490" spans="13:39" hidden="1">
      <c r="M1490" s="152" t="s">
        <v>945</v>
      </c>
      <c r="N1490" s="225">
        <v>552831</v>
      </c>
      <c r="O1490" s="152" t="s">
        <v>244</v>
      </c>
      <c r="P1490" s="152" t="s">
        <v>245</v>
      </c>
      <c r="Q1490" s="133">
        <v>1546</v>
      </c>
      <c r="R1490" s="152" t="s">
        <v>279</v>
      </c>
      <c r="S1490" s="161" t="s">
        <v>11</v>
      </c>
      <c r="T1490" s="156">
        <v>42921</v>
      </c>
      <c r="U1490" s="172">
        <f t="shared" si="79"/>
        <v>2017</v>
      </c>
      <c r="V1490" s="172">
        <f t="shared" si="80"/>
        <v>7</v>
      </c>
      <c r="W1490" s="157" t="s">
        <v>946</v>
      </c>
      <c r="X1490" t="s">
        <v>892</v>
      </c>
      <c r="Y1490">
        <v>1</v>
      </c>
      <c r="AA1490" s="13" t="str">
        <f t="shared" si="78"/>
        <v>בחירת מתחם תערך במרחב</v>
      </c>
      <c r="AE1490" s="43"/>
      <c r="AL1490" s="87" t="s">
        <v>819</v>
      </c>
      <c r="AM1490" s="86">
        <v>499776</v>
      </c>
    </row>
    <row r="1491" spans="13:39" hidden="1">
      <c r="M1491" s="152" t="s">
        <v>945</v>
      </c>
      <c r="N1491" s="225">
        <v>558027</v>
      </c>
      <c r="O1491" s="152" t="s">
        <v>244</v>
      </c>
      <c r="P1491" s="152" t="s">
        <v>245</v>
      </c>
      <c r="Q1491" s="133">
        <v>1547</v>
      </c>
      <c r="R1491" s="152" t="s">
        <v>279</v>
      </c>
      <c r="S1491" s="161" t="s">
        <v>11</v>
      </c>
      <c r="T1491" s="156">
        <v>42921</v>
      </c>
      <c r="U1491" s="172">
        <f t="shared" si="79"/>
        <v>2017</v>
      </c>
      <c r="V1491" s="172">
        <f t="shared" si="80"/>
        <v>7</v>
      </c>
      <c r="W1491" s="157" t="s">
        <v>946</v>
      </c>
      <c r="X1491" t="s">
        <v>892</v>
      </c>
      <c r="Y1491">
        <v>1</v>
      </c>
      <c r="AA1491" s="13" t="str">
        <f t="shared" si="78"/>
        <v>בחירת מתחם תערך במרחב</v>
      </c>
      <c r="AE1491" s="43"/>
      <c r="AL1491" s="87" t="s">
        <v>819</v>
      </c>
      <c r="AM1491" s="86">
        <v>500271</v>
      </c>
    </row>
    <row r="1492" spans="13:39" hidden="1">
      <c r="M1492" s="152" t="s">
        <v>945</v>
      </c>
      <c r="N1492" s="225">
        <v>486006</v>
      </c>
      <c r="O1492" s="152" t="s">
        <v>244</v>
      </c>
      <c r="P1492" s="152" t="s">
        <v>245</v>
      </c>
      <c r="Q1492" s="133">
        <v>1548</v>
      </c>
      <c r="R1492" s="152" t="s">
        <v>279</v>
      </c>
      <c r="S1492" s="161" t="s">
        <v>11</v>
      </c>
      <c r="T1492" s="156">
        <v>42921</v>
      </c>
      <c r="U1492" s="172">
        <f t="shared" si="79"/>
        <v>2017</v>
      </c>
      <c r="V1492" s="172">
        <f t="shared" si="80"/>
        <v>7</v>
      </c>
      <c r="W1492" s="157" t="s">
        <v>946</v>
      </c>
      <c r="X1492" t="s">
        <v>892</v>
      </c>
      <c r="Y1492">
        <v>1</v>
      </c>
      <c r="AA1492" s="13" t="str">
        <f t="shared" si="78"/>
        <v>בחירת מתחם תערך במרחב</v>
      </c>
      <c r="AE1492" s="43"/>
      <c r="AL1492" s="87" t="s">
        <v>819</v>
      </c>
      <c r="AM1492" s="86">
        <v>50031003</v>
      </c>
    </row>
    <row r="1493" spans="13:39" hidden="1">
      <c r="M1493" s="152" t="s">
        <v>945</v>
      </c>
      <c r="N1493" s="225">
        <v>480232</v>
      </c>
      <c r="O1493" s="152" t="s">
        <v>244</v>
      </c>
      <c r="P1493" s="152" t="s">
        <v>245</v>
      </c>
      <c r="Q1493" s="133">
        <v>1549</v>
      </c>
      <c r="R1493" s="152" t="s">
        <v>279</v>
      </c>
      <c r="S1493" s="161" t="s">
        <v>11</v>
      </c>
      <c r="T1493" s="156">
        <v>42921</v>
      </c>
      <c r="U1493" s="172">
        <f t="shared" si="79"/>
        <v>2017</v>
      </c>
      <c r="V1493" s="172">
        <f t="shared" si="80"/>
        <v>7</v>
      </c>
      <c r="W1493" s="157" t="s">
        <v>946</v>
      </c>
      <c r="X1493" t="s">
        <v>892</v>
      </c>
      <c r="Y1493">
        <v>1</v>
      </c>
      <c r="AA1493" s="13" t="str">
        <f t="shared" si="78"/>
        <v>בחירת מתחם תערך במרחב</v>
      </c>
      <c r="AE1493" s="43"/>
      <c r="AL1493" s="87" t="s">
        <v>819</v>
      </c>
      <c r="AM1493" s="86">
        <v>50031003</v>
      </c>
    </row>
    <row r="1494" spans="13:39" hidden="1">
      <c r="M1494" s="152" t="s">
        <v>945</v>
      </c>
      <c r="N1494" s="225">
        <v>530308</v>
      </c>
      <c r="O1494" s="152" t="s">
        <v>244</v>
      </c>
      <c r="P1494" s="152" t="s">
        <v>245</v>
      </c>
      <c r="Q1494" s="133">
        <v>1550</v>
      </c>
      <c r="R1494" s="152" t="s">
        <v>279</v>
      </c>
      <c r="S1494" s="161" t="s">
        <v>11</v>
      </c>
      <c r="T1494" s="156">
        <v>42921</v>
      </c>
      <c r="U1494" s="172">
        <f t="shared" si="79"/>
        <v>2017</v>
      </c>
      <c r="V1494" s="172">
        <f t="shared" si="80"/>
        <v>7</v>
      </c>
      <c r="W1494" s="157" t="s">
        <v>946</v>
      </c>
      <c r="X1494" t="s">
        <v>892</v>
      </c>
      <c r="Y1494">
        <v>1</v>
      </c>
      <c r="AA1494" s="13" t="str">
        <f t="shared" si="78"/>
        <v>בחירת מתחם תערך במרחב</v>
      </c>
      <c r="AE1494" s="43"/>
      <c r="AL1494" s="87" t="s">
        <v>819</v>
      </c>
      <c r="AM1494" s="86">
        <v>500923</v>
      </c>
    </row>
    <row r="1495" spans="13:39" hidden="1">
      <c r="M1495" s="152" t="s">
        <v>945</v>
      </c>
      <c r="N1495" s="225">
        <v>521644</v>
      </c>
      <c r="O1495" s="152" t="s">
        <v>244</v>
      </c>
      <c r="P1495" s="152" t="s">
        <v>245</v>
      </c>
      <c r="Q1495" s="133">
        <v>1551</v>
      </c>
      <c r="R1495" s="152" t="s">
        <v>279</v>
      </c>
      <c r="S1495" s="161" t="s">
        <v>11</v>
      </c>
      <c r="T1495" s="156">
        <v>42921</v>
      </c>
      <c r="U1495" s="172">
        <f t="shared" si="79"/>
        <v>2017</v>
      </c>
      <c r="V1495" s="172">
        <f t="shared" si="80"/>
        <v>7</v>
      </c>
      <c r="W1495" s="157" t="s">
        <v>946</v>
      </c>
      <c r="X1495" t="s">
        <v>892</v>
      </c>
      <c r="Y1495">
        <v>1</v>
      </c>
      <c r="AA1495" s="13" t="str">
        <f t="shared" si="78"/>
        <v>בחירת מתחם תערך במרחב</v>
      </c>
      <c r="AE1495" s="43"/>
      <c r="AL1495" s="87" t="s">
        <v>819</v>
      </c>
      <c r="AM1495" s="86">
        <v>501262</v>
      </c>
    </row>
    <row r="1496" spans="13:39" hidden="1">
      <c r="M1496" s="152" t="s">
        <v>945</v>
      </c>
      <c r="N1496" s="225">
        <v>521644</v>
      </c>
      <c r="O1496" s="152" t="s">
        <v>244</v>
      </c>
      <c r="P1496" s="152" t="s">
        <v>245</v>
      </c>
      <c r="Q1496" s="133">
        <v>1554</v>
      </c>
      <c r="R1496" s="152" t="s">
        <v>279</v>
      </c>
      <c r="S1496" s="161" t="s">
        <v>11</v>
      </c>
      <c r="T1496" s="156">
        <v>42921</v>
      </c>
      <c r="U1496" s="172">
        <f t="shared" si="79"/>
        <v>2017</v>
      </c>
      <c r="V1496" s="172">
        <f t="shared" si="80"/>
        <v>7</v>
      </c>
      <c r="W1496" s="157" t="s">
        <v>946</v>
      </c>
      <c r="X1496" t="s">
        <v>892</v>
      </c>
      <c r="Y1496">
        <v>1</v>
      </c>
      <c r="AA1496" s="13" t="str">
        <f t="shared" si="78"/>
        <v>בחירת מתחם תערך במרחב</v>
      </c>
      <c r="AB1496" s="14">
        <v>0.85</v>
      </c>
      <c r="AE1496" s="43"/>
      <c r="AL1496" s="87" t="s">
        <v>819</v>
      </c>
      <c r="AM1496" s="86">
        <v>502253</v>
      </c>
    </row>
    <row r="1497" spans="13:39" hidden="1">
      <c r="M1497" s="152" t="s">
        <v>945</v>
      </c>
      <c r="N1497" s="225">
        <v>521644</v>
      </c>
      <c r="O1497" s="152" t="s">
        <v>244</v>
      </c>
      <c r="P1497" s="152" t="s">
        <v>245</v>
      </c>
      <c r="Q1497" s="133">
        <v>1555</v>
      </c>
      <c r="R1497" s="152" t="s">
        <v>279</v>
      </c>
      <c r="S1497" s="161" t="s">
        <v>11</v>
      </c>
      <c r="T1497" s="156">
        <v>42921</v>
      </c>
      <c r="U1497" s="172">
        <f t="shared" si="79"/>
        <v>2017</v>
      </c>
      <c r="V1497" s="172">
        <f t="shared" si="80"/>
        <v>7</v>
      </c>
      <c r="W1497" s="157" t="s">
        <v>946</v>
      </c>
      <c r="X1497" t="s">
        <v>892</v>
      </c>
      <c r="Y1497">
        <v>1</v>
      </c>
      <c r="AA1497" s="13" t="str">
        <f t="shared" si="78"/>
        <v>בחירת מתחם תערך במרחב</v>
      </c>
      <c r="AE1497" s="43"/>
      <c r="AL1497" s="87" t="s">
        <v>819</v>
      </c>
      <c r="AM1497" s="86">
        <v>502632</v>
      </c>
    </row>
    <row r="1498" spans="13:39" hidden="1">
      <c r="M1498" s="152" t="s">
        <v>945</v>
      </c>
      <c r="N1498" s="225">
        <v>521644</v>
      </c>
      <c r="O1498" s="152" t="s">
        <v>244</v>
      </c>
      <c r="P1498" s="152" t="s">
        <v>245</v>
      </c>
      <c r="Q1498" s="133">
        <v>1558</v>
      </c>
      <c r="R1498" s="152" t="s">
        <v>279</v>
      </c>
      <c r="S1498" s="161" t="s">
        <v>11</v>
      </c>
      <c r="T1498" s="156">
        <v>42921</v>
      </c>
      <c r="U1498" s="172">
        <f t="shared" si="79"/>
        <v>2017</v>
      </c>
      <c r="V1498" s="172">
        <f t="shared" si="80"/>
        <v>7</v>
      </c>
      <c r="W1498" s="157" t="s">
        <v>946</v>
      </c>
      <c r="X1498" t="s">
        <v>892</v>
      </c>
      <c r="Y1498">
        <v>1</v>
      </c>
      <c r="AA1498" s="13" t="str">
        <f t="shared" si="78"/>
        <v>בחירת מתחם תערך במרחב</v>
      </c>
      <c r="AE1498" s="43"/>
      <c r="AL1498" s="87" t="s">
        <v>819</v>
      </c>
      <c r="AM1498" s="86">
        <v>503041</v>
      </c>
    </row>
    <row r="1499" spans="13:39" hidden="1">
      <c r="M1499" s="152" t="s">
        <v>945</v>
      </c>
      <c r="N1499" s="225">
        <v>521644</v>
      </c>
      <c r="O1499" s="152" t="s">
        <v>244</v>
      </c>
      <c r="P1499" s="152" t="s">
        <v>245</v>
      </c>
      <c r="Q1499" s="133">
        <v>1560</v>
      </c>
      <c r="R1499" s="152" t="s">
        <v>279</v>
      </c>
      <c r="S1499" s="161" t="s">
        <v>11</v>
      </c>
      <c r="T1499" s="156">
        <v>42921</v>
      </c>
      <c r="U1499" s="172">
        <f t="shared" si="79"/>
        <v>2017</v>
      </c>
      <c r="V1499" s="172">
        <f t="shared" si="80"/>
        <v>7</v>
      </c>
      <c r="W1499" s="157" t="s">
        <v>946</v>
      </c>
      <c r="X1499" t="s">
        <v>892</v>
      </c>
      <c r="Y1499">
        <v>1</v>
      </c>
      <c r="AA1499" s="13" t="str">
        <f t="shared" si="78"/>
        <v>בחירת מתחם תערך במרחב</v>
      </c>
      <c r="AB1499" s="14">
        <v>0.85</v>
      </c>
      <c r="AE1499" s="43"/>
      <c r="AL1499" s="87" t="s">
        <v>819</v>
      </c>
      <c r="AM1499" s="86">
        <v>5031991</v>
      </c>
    </row>
    <row r="1500" spans="13:39" hidden="1">
      <c r="M1500" s="152" t="s">
        <v>945</v>
      </c>
      <c r="N1500" s="225">
        <v>521644</v>
      </c>
      <c r="O1500" s="152" t="s">
        <v>244</v>
      </c>
      <c r="P1500" s="152" t="s">
        <v>245</v>
      </c>
      <c r="Q1500" s="133">
        <v>1561</v>
      </c>
      <c r="R1500" s="152" t="s">
        <v>279</v>
      </c>
      <c r="S1500" s="161" t="s">
        <v>11</v>
      </c>
      <c r="T1500" s="156">
        <v>42921</v>
      </c>
      <c r="U1500" s="172">
        <f t="shared" si="79"/>
        <v>2017</v>
      </c>
      <c r="V1500" s="172">
        <f t="shared" si="80"/>
        <v>7</v>
      </c>
      <c r="W1500" s="157" t="s">
        <v>946</v>
      </c>
      <c r="X1500" t="s">
        <v>892</v>
      </c>
      <c r="Y1500">
        <v>1</v>
      </c>
      <c r="AA1500" s="13" t="str">
        <f t="shared" si="78"/>
        <v>בחירת מתחם תערך במרחב</v>
      </c>
      <c r="AE1500" s="43"/>
      <c r="AL1500" s="87" t="s">
        <v>819</v>
      </c>
      <c r="AM1500" s="86">
        <v>503245</v>
      </c>
    </row>
    <row r="1501" spans="13:39" hidden="1">
      <c r="M1501" s="152" t="s">
        <v>945</v>
      </c>
      <c r="N1501" s="225">
        <v>549942</v>
      </c>
      <c r="O1501" s="152" t="s">
        <v>244</v>
      </c>
      <c r="P1501" s="152" t="s">
        <v>245</v>
      </c>
      <c r="Q1501" s="133">
        <v>1571</v>
      </c>
      <c r="R1501" s="152" t="s">
        <v>279</v>
      </c>
      <c r="S1501" s="161" t="s">
        <v>11</v>
      </c>
      <c r="T1501" s="156">
        <v>42921</v>
      </c>
      <c r="U1501" s="172">
        <f t="shared" si="79"/>
        <v>2017</v>
      </c>
      <c r="V1501" s="172">
        <f t="shared" si="80"/>
        <v>7</v>
      </c>
      <c r="W1501" s="157" t="s">
        <v>946</v>
      </c>
      <c r="X1501" t="s">
        <v>892</v>
      </c>
      <c r="Y1501">
        <v>1</v>
      </c>
      <c r="AA1501" s="13" t="str">
        <f t="shared" si="78"/>
        <v>בחירת מתחם תערך במרחב</v>
      </c>
      <c r="AE1501" s="43"/>
      <c r="AL1501" s="87" t="s">
        <v>819</v>
      </c>
      <c r="AM1501" s="86">
        <v>503259</v>
      </c>
    </row>
    <row r="1502" spans="13:39" hidden="1">
      <c r="M1502" s="152" t="s">
        <v>945</v>
      </c>
      <c r="N1502" s="225">
        <v>549942</v>
      </c>
      <c r="O1502" s="152" t="s">
        <v>244</v>
      </c>
      <c r="P1502" s="152" t="s">
        <v>245</v>
      </c>
      <c r="Q1502" s="133">
        <v>1572</v>
      </c>
      <c r="R1502" s="152" t="s">
        <v>279</v>
      </c>
      <c r="S1502" s="161" t="s">
        <v>11</v>
      </c>
      <c r="T1502" s="156">
        <v>42921</v>
      </c>
      <c r="U1502" s="172">
        <f t="shared" si="79"/>
        <v>2017</v>
      </c>
      <c r="V1502" s="172">
        <f t="shared" si="80"/>
        <v>7</v>
      </c>
      <c r="W1502" s="157" t="s">
        <v>946</v>
      </c>
      <c r="X1502" t="s">
        <v>892</v>
      </c>
      <c r="Y1502">
        <v>1</v>
      </c>
      <c r="AA1502" s="13" t="str">
        <f t="shared" si="78"/>
        <v>בחירת מתחם תערך במרחב</v>
      </c>
      <c r="AE1502" s="43"/>
      <c r="AL1502" s="87" t="s">
        <v>819</v>
      </c>
      <c r="AM1502" s="86">
        <v>503958</v>
      </c>
    </row>
    <row r="1503" spans="13:39" hidden="1">
      <c r="M1503" s="152" t="s">
        <v>945</v>
      </c>
      <c r="N1503" s="225">
        <v>545899</v>
      </c>
      <c r="O1503" s="152" t="s">
        <v>244</v>
      </c>
      <c r="P1503" s="152" t="s">
        <v>245</v>
      </c>
      <c r="Q1503" s="133">
        <v>1575</v>
      </c>
      <c r="R1503" s="152" t="s">
        <v>279</v>
      </c>
      <c r="S1503" s="161" t="s">
        <v>11</v>
      </c>
      <c r="T1503" s="156">
        <v>42921</v>
      </c>
      <c r="U1503" s="172">
        <f t="shared" si="79"/>
        <v>2017</v>
      </c>
      <c r="V1503" s="172">
        <f t="shared" si="80"/>
        <v>7</v>
      </c>
      <c r="W1503" s="157" t="s">
        <v>946</v>
      </c>
      <c r="X1503" t="s">
        <v>892</v>
      </c>
      <c r="Y1503">
        <v>1</v>
      </c>
      <c r="AA1503" s="13" t="str">
        <f t="shared" si="78"/>
        <v>בחירת מתחם תערך במרחב</v>
      </c>
      <c r="AB1503" s="14">
        <v>0.85</v>
      </c>
      <c r="AE1503" s="43"/>
      <c r="AL1503" s="87" t="s">
        <v>819</v>
      </c>
      <c r="AM1503" s="86">
        <v>5042006</v>
      </c>
    </row>
    <row r="1504" spans="13:39" hidden="1">
      <c r="M1504" s="152" t="s">
        <v>945</v>
      </c>
      <c r="N1504" s="225">
        <v>549365</v>
      </c>
      <c r="O1504" s="152" t="s">
        <v>244</v>
      </c>
      <c r="P1504" s="152" t="s">
        <v>245</v>
      </c>
      <c r="Q1504" s="133">
        <v>1576</v>
      </c>
      <c r="R1504" s="152" t="s">
        <v>279</v>
      </c>
      <c r="S1504" s="161" t="s">
        <v>11</v>
      </c>
      <c r="T1504" s="156">
        <v>42921</v>
      </c>
      <c r="U1504" s="172">
        <f t="shared" si="79"/>
        <v>2017</v>
      </c>
      <c r="V1504" s="172">
        <f t="shared" si="80"/>
        <v>7</v>
      </c>
      <c r="W1504" s="157" t="s">
        <v>946</v>
      </c>
      <c r="X1504" t="s">
        <v>892</v>
      </c>
      <c r="Y1504">
        <v>1</v>
      </c>
      <c r="AA1504" s="13" t="str">
        <f t="shared" si="78"/>
        <v>בחירת מתחם תערך במרחב</v>
      </c>
      <c r="AE1504" s="43"/>
      <c r="AL1504" s="87" t="s">
        <v>819</v>
      </c>
      <c r="AM1504" s="86">
        <v>504731</v>
      </c>
    </row>
    <row r="1505" spans="13:39" hidden="1">
      <c r="M1505" s="152" t="s">
        <v>945</v>
      </c>
      <c r="N1505" s="225">
        <v>549365</v>
      </c>
      <c r="O1505" s="152" t="s">
        <v>244</v>
      </c>
      <c r="P1505" s="152" t="s">
        <v>245</v>
      </c>
      <c r="Q1505" s="133">
        <v>1577</v>
      </c>
      <c r="R1505" s="152" t="s">
        <v>279</v>
      </c>
      <c r="S1505" s="161" t="s">
        <v>11</v>
      </c>
      <c r="T1505" s="156">
        <v>42921</v>
      </c>
      <c r="U1505" s="172">
        <f t="shared" si="79"/>
        <v>2017</v>
      </c>
      <c r="V1505" s="172">
        <f t="shared" si="80"/>
        <v>7</v>
      </c>
      <c r="W1505" s="157" t="s">
        <v>946</v>
      </c>
      <c r="X1505" t="s">
        <v>892</v>
      </c>
      <c r="Y1505">
        <v>1</v>
      </c>
      <c r="AA1505" s="13" t="str">
        <f t="shared" si="78"/>
        <v>בחירת מתחם תערך במרחב</v>
      </c>
      <c r="AE1505" s="43"/>
      <c r="AL1505" s="87" t="s">
        <v>819</v>
      </c>
      <c r="AM1505" s="86">
        <v>505722</v>
      </c>
    </row>
    <row r="1506" spans="13:39" hidden="1">
      <c r="M1506" s="152" t="s">
        <v>945</v>
      </c>
      <c r="N1506" s="225">
        <v>583437</v>
      </c>
      <c r="O1506" s="152" t="s">
        <v>244</v>
      </c>
      <c r="P1506" s="152" t="s">
        <v>245</v>
      </c>
      <c r="Q1506" s="133">
        <v>1584</v>
      </c>
      <c r="R1506" s="152" t="s">
        <v>279</v>
      </c>
      <c r="S1506" s="161" t="s">
        <v>11</v>
      </c>
      <c r="T1506" s="156">
        <v>42921</v>
      </c>
      <c r="U1506" s="172">
        <f t="shared" si="79"/>
        <v>2017</v>
      </c>
      <c r="V1506" s="172">
        <f t="shared" si="80"/>
        <v>7</v>
      </c>
      <c r="W1506" s="157" t="s">
        <v>946</v>
      </c>
      <c r="X1506" t="s">
        <v>892</v>
      </c>
      <c r="Y1506">
        <v>1</v>
      </c>
      <c r="AA1506" s="13" t="str">
        <f t="shared" si="78"/>
        <v>בחירת מתחם תערך במרחב</v>
      </c>
      <c r="AE1506" s="43"/>
      <c r="AL1506" s="87" t="s">
        <v>819</v>
      </c>
      <c r="AM1506" s="86">
        <v>506218</v>
      </c>
    </row>
    <row r="1507" spans="13:39" hidden="1">
      <c r="M1507" s="152" t="s">
        <v>945</v>
      </c>
      <c r="N1507" s="225">
        <v>564380</v>
      </c>
      <c r="O1507" s="152" t="s">
        <v>244</v>
      </c>
      <c r="P1507" s="152" t="s">
        <v>245</v>
      </c>
      <c r="Q1507" s="133">
        <v>1588</v>
      </c>
      <c r="R1507" s="152" t="s">
        <v>279</v>
      </c>
      <c r="S1507" s="161" t="s">
        <v>11</v>
      </c>
      <c r="T1507" s="156">
        <v>42921</v>
      </c>
      <c r="U1507" s="172">
        <f t="shared" si="79"/>
        <v>2017</v>
      </c>
      <c r="V1507" s="172">
        <f t="shared" si="80"/>
        <v>7</v>
      </c>
      <c r="W1507" s="157" t="s">
        <v>946</v>
      </c>
      <c r="X1507" t="s">
        <v>892</v>
      </c>
      <c r="Y1507">
        <v>1</v>
      </c>
      <c r="AA1507" s="13" t="str">
        <f t="shared" si="78"/>
        <v>בחירת מתחם תערך במרחב</v>
      </c>
      <c r="AE1507" s="43"/>
      <c r="AL1507" s="87" t="s">
        <v>819</v>
      </c>
      <c r="AM1507" s="86">
        <v>507210</v>
      </c>
    </row>
    <row r="1508" spans="13:39" hidden="1">
      <c r="M1508" s="152" t="s">
        <v>917</v>
      </c>
      <c r="N1508" s="225">
        <v>32197252</v>
      </c>
      <c r="O1508" s="152" t="s">
        <v>248</v>
      </c>
      <c r="P1508" s="152" t="s">
        <v>251</v>
      </c>
      <c r="Q1508" s="133">
        <v>45637</v>
      </c>
      <c r="R1508" s="152" t="s">
        <v>935</v>
      </c>
      <c r="S1508" s="161" t="s">
        <v>11</v>
      </c>
      <c r="T1508" s="156">
        <v>42798</v>
      </c>
      <c r="U1508" s="172">
        <f t="shared" si="79"/>
        <v>2017</v>
      </c>
      <c r="V1508" s="172">
        <f t="shared" si="80"/>
        <v>3</v>
      </c>
      <c r="W1508" s="157" t="s">
        <v>757</v>
      </c>
      <c r="X1508" t="s">
        <v>892</v>
      </c>
      <c r="Y1508">
        <v>210</v>
      </c>
      <c r="Z1508">
        <v>22201</v>
      </c>
      <c r="AA1508" s="13" t="str">
        <f t="shared" si="78"/>
        <v>אין הצעות למתחם זה</v>
      </c>
      <c r="AE1508" s="43"/>
      <c r="AL1508" s="87" t="s">
        <v>819</v>
      </c>
      <c r="AM1508" s="86">
        <v>507210</v>
      </c>
    </row>
    <row r="1509" spans="13:39" hidden="1">
      <c r="M1509" s="154">
        <v>7033</v>
      </c>
      <c r="N1509" s="225">
        <v>21869985</v>
      </c>
      <c r="O1509" s="152" t="s">
        <v>248</v>
      </c>
      <c r="P1509" s="152" t="s">
        <v>251</v>
      </c>
      <c r="Q1509" s="133">
        <v>45638</v>
      </c>
      <c r="R1509" s="152" t="s">
        <v>935</v>
      </c>
      <c r="S1509" s="161" t="s">
        <v>11</v>
      </c>
      <c r="T1509" s="156">
        <v>42798</v>
      </c>
      <c r="U1509" s="172">
        <f t="shared" si="79"/>
        <v>2017</v>
      </c>
      <c r="V1509" s="172">
        <f t="shared" si="80"/>
        <v>3</v>
      </c>
      <c r="W1509" s="157" t="s">
        <v>757</v>
      </c>
      <c r="X1509" t="s">
        <v>892</v>
      </c>
      <c r="Y1509">
        <v>140</v>
      </c>
      <c r="Z1509">
        <v>15315</v>
      </c>
      <c r="AA1509" s="13">
        <f t="shared" si="78"/>
        <v>3846500</v>
      </c>
      <c r="AB1509" s="14">
        <v>0.85</v>
      </c>
      <c r="AE1509" s="43"/>
      <c r="AL1509" s="87" t="s">
        <v>819</v>
      </c>
      <c r="AM1509" s="86">
        <v>507705</v>
      </c>
    </row>
    <row r="1510" spans="13:39" hidden="1">
      <c r="M1510" s="154">
        <v>6950</v>
      </c>
      <c r="N1510" s="225">
        <v>30334252</v>
      </c>
      <c r="O1510" s="152" t="s">
        <v>248</v>
      </c>
      <c r="P1510" s="152" t="s">
        <v>251</v>
      </c>
      <c r="Q1510" s="133">
        <v>45639</v>
      </c>
      <c r="R1510" s="152" t="s">
        <v>935</v>
      </c>
      <c r="S1510" s="161" t="s">
        <v>11</v>
      </c>
      <c r="T1510" s="156">
        <v>42798</v>
      </c>
      <c r="U1510" s="172">
        <f t="shared" si="79"/>
        <v>2017</v>
      </c>
      <c r="V1510" s="172">
        <f t="shared" si="80"/>
        <v>3</v>
      </c>
      <c r="W1510" s="157" t="s">
        <v>757</v>
      </c>
      <c r="X1510" t="s">
        <v>892</v>
      </c>
      <c r="Y1510">
        <v>168</v>
      </c>
      <c r="Z1510">
        <v>23153</v>
      </c>
      <c r="AA1510" s="13">
        <f t="shared" si="78"/>
        <v>3570000</v>
      </c>
      <c r="AE1510" s="43"/>
      <c r="AL1510" s="87" t="s">
        <v>819</v>
      </c>
      <c r="AM1510" s="86">
        <v>507705</v>
      </c>
    </row>
    <row r="1511" spans="13:39" hidden="1">
      <c r="M1511" s="154">
        <v>7050</v>
      </c>
      <c r="N1511" s="225">
        <v>15860050</v>
      </c>
      <c r="O1511" s="152" t="s">
        <v>248</v>
      </c>
      <c r="P1511" s="152" t="s">
        <v>251</v>
      </c>
      <c r="Q1511" s="133">
        <v>45640</v>
      </c>
      <c r="R1511" s="152" t="s">
        <v>935</v>
      </c>
      <c r="S1511" s="161" t="s">
        <v>11</v>
      </c>
      <c r="T1511" s="156">
        <v>42798</v>
      </c>
      <c r="U1511" s="172">
        <f t="shared" si="79"/>
        <v>2017</v>
      </c>
      <c r="V1511" s="172">
        <f t="shared" si="80"/>
        <v>3</v>
      </c>
      <c r="W1511" s="157" t="s">
        <v>757</v>
      </c>
      <c r="X1511" t="s">
        <v>892</v>
      </c>
      <c r="Y1511">
        <v>98</v>
      </c>
      <c r="Z1511">
        <v>11422</v>
      </c>
      <c r="AA1511" s="13">
        <f t="shared" si="78"/>
        <v>2817500</v>
      </c>
      <c r="AE1511" s="43"/>
      <c r="AL1511" s="87" t="s">
        <v>819</v>
      </c>
      <c r="AM1511" s="86">
        <v>507705</v>
      </c>
    </row>
    <row r="1512" spans="13:39" hidden="1">
      <c r="M1512" s="154">
        <v>6890</v>
      </c>
      <c r="N1512" s="225">
        <v>23239339</v>
      </c>
      <c r="O1512" s="152" t="s">
        <v>248</v>
      </c>
      <c r="P1512" s="152" t="s">
        <v>251</v>
      </c>
      <c r="Q1512" s="133">
        <v>45641</v>
      </c>
      <c r="R1512" s="152" t="s">
        <v>935</v>
      </c>
      <c r="S1512" s="161" t="s">
        <v>11</v>
      </c>
      <c r="T1512" s="156">
        <v>42798</v>
      </c>
      <c r="U1512" s="172">
        <f t="shared" si="79"/>
        <v>2017</v>
      </c>
      <c r="V1512" s="172">
        <f t="shared" si="80"/>
        <v>3</v>
      </c>
      <c r="W1512" s="157" t="s">
        <v>757</v>
      </c>
      <c r="X1512" t="s">
        <v>892</v>
      </c>
      <c r="Y1512">
        <v>183</v>
      </c>
      <c r="Z1512">
        <v>13233</v>
      </c>
      <c r="AA1512" s="13">
        <f t="shared" si="78"/>
        <v>3065250</v>
      </c>
      <c r="AE1512" s="43"/>
      <c r="AL1512" s="87" t="s">
        <v>819</v>
      </c>
      <c r="AM1512" s="86">
        <v>508200</v>
      </c>
    </row>
    <row r="1513" spans="13:39" hidden="1">
      <c r="M1513" s="154">
        <v>7049</v>
      </c>
      <c r="N1513" s="225">
        <v>10628678</v>
      </c>
      <c r="O1513" s="152" t="s">
        <v>248</v>
      </c>
      <c r="P1513" s="152" t="s">
        <v>251</v>
      </c>
      <c r="Q1513" s="133">
        <v>45642</v>
      </c>
      <c r="R1513" s="152" t="s">
        <v>935</v>
      </c>
      <c r="S1513" s="161" t="s">
        <v>11</v>
      </c>
      <c r="T1513" s="156">
        <v>42798</v>
      </c>
      <c r="U1513" s="172">
        <f t="shared" si="79"/>
        <v>2017</v>
      </c>
      <c r="V1513" s="172">
        <f t="shared" si="80"/>
        <v>3</v>
      </c>
      <c r="W1513" s="157" t="s">
        <v>757</v>
      </c>
      <c r="X1513" t="s">
        <v>892</v>
      </c>
      <c r="Y1513">
        <v>73</v>
      </c>
      <c r="Z1513">
        <v>6619</v>
      </c>
      <c r="AA1513" s="13">
        <f t="shared" si="78"/>
        <v>2093275</v>
      </c>
      <c r="AB1513" s="14">
        <v>0.85</v>
      </c>
      <c r="AE1513" s="43"/>
      <c r="AL1513" s="87" t="s">
        <v>819</v>
      </c>
      <c r="AM1513" s="86">
        <v>508696</v>
      </c>
    </row>
    <row r="1514" spans="13:39" hidden="1">
      <c r="M1514" s="154">
        <v>6328</v>
      </c>
      <c r="N1514" s="225">
        <v>15368768</v>
      </c>
      <c r="O1514" s="152" t="s">
        <v>248</v>
      </c>
      <c r="P1514" s="152" t="s">
        <v>251</v>
      </c>
      <c r="Q1514" s="133">
        <v>45643</v>
      </c>
      <c r="R1514" s="152" t="s">
        <v>935</v>
      </c>
      <c r="S1514" s="161" t="s">
        <v>11</v>
      </c>
      <c r="T1514" s="156">
        <v>42798</v>
      </c>
      <c r="U1514" s="172">
        <f t="shared" si="79"/>
        <v>2017</v>
      </c>
      <c r="V1514" s="172">
        <f t="shared" si="80"/>
        <v>3</v>
      </c>
      <c r="W1514" s="157" t="s">
        <v>757</v>
      </c>
      <c r="X1514" t="s">
        <v>892</v>
      </c>
      <c r="Y1514">
        <v>125</v>
      </c>
      <c r="Z1514">
        <v>8398</v>
      </c>
      <c r="AA1514" s="13">
        <f t="shared" si="78"/>
        <v>-3175000</v>
      </c>
      <c r="AE1514" s="43"/>
      <c r="AL1514" s="87" t="s">
        <v>819</v>
      </c>
      <c r="AM1514" s="86">
        <v>509191</v>
      </c>
    </row>
    <row r="1515" spans="13:39" hidden="1">
      <c r="M1515" s="154">
        <v>6250</v>
      </c>
      <c r="N1515" s="225">
        <v>19968684</v>
      </c>
      <c r="O1515" s="152" t="s">
        <v>248</v>
      </c>
      <c r="P1515" s="152" t="s">
        <v>251</v>
      </c>
      <c r="Q1515" s="133">
        <v>45654</v>
      </c>
      <c r="R1515" s="152" t="s">
        <v>935</v>
      </c>
      <c r="S1515" s="161" t="s">
        <v>11</v>
      </c>
      <c r="T1515" s="156">
        <v>42798</v>
      </c>
      <c r="U1515" s="172">
        <f t="shared" si="79"/>
        <v>2017</v>
      </c>
      <c r="V1515" s="172">
        <f t="shared" si="80"/>
        <v>3</v>
      </c>
      <c r="W1515" s="157" t="s">
        <v>757</v>
      </c>
      <c r="X1515" t="s">
        <v>892</v>
      </c>
      <c r="Y1515">
        <v>146</v>
      </c>
      <c r="Z1515">
        <v>11619</v>
      </c>
      <c r="AA1515" s="13">
        <f t="shared" si="78"/>
        <v>-4562500</v>
      </c>
      <c r="AE1515" s="43"/>
      <c r="AL1515" s="87" t="s">
        <v>819</v>
      </c>
      <c r="AM1515" s="86">
        <v>509191</v>
      </c>
    </row>
    <row r="1516" spans="13:39" hidden="1">
      <c r="M1516" s="152" t="s">
        <v>917</v>
      </c>
      <c r="N1516" s="225">
        <v>7543685</v>
      </c>
      <c r="O1516" s="152" t="s">
        <v>248</v>
      </c>
      <c r="P1516" s="152" t="s">
        <v>251</v>
      </c>
      <c r="Q1516" s="133">
        <v>45655</v>
      </c>
      <c r="R1516" s="152" t="s">
        <v>935</v>
      </c>
      <c r="S1516" s="161" t="s">
        <v>11</v>
      </c>
      <c r="T1516" s="156">
        <v>42798</v>
      </c>
      <c r="U1516" s="172">
        <f t="shared" si="79"/>
        <v>2017</v>
      </c>
      <c r="V1516" s="172">
        <f t="shared" si="80"/>
        <v>3</v>
      </c>
      <c r="W1516" s="157" t="s">
        <v>757</v>
      </c>
      <c r="X1516" t="s">
        <v>892</v>
      </c>
      <c r="Y1516">
        <v>52</v>
      </c>
      <c r="Z1516">
        <v>4444</v>
      </c>
      <c r="AA1516" s="13" t="str">
        <f t="shared" si="78"/>
        <v>אין הצעות למתחם זה</v>
      </c>
      <c r="AE1516" s="43"/>
      <c r="AL1516" s="87" t="s">
        <v>819</v>
      </c>
      <c r="AM1516" s="86">
        <v>509924</v>
      </c>
    </row>
    <row r="1517" spans="13:39" hidden="1">
      <c r="M1517" s="154">
        <v>6035</v>
      </c>
      <c r="N1517" s="225">
        <v>12673516</v>
      </c>
      <c r="O1517" s="152" t="s">
        <v>248</v>
      </c>
      <c r="P1517" s="152" t="s">
        <v>251</v>
      </c>
      <c r="Q1517" s="133">
        <v>45656</v>
      </c>
      <c r="R1517" s="152" t="s">
        <v>935</v>
      </c>
      <c r="S1517" s="161" t="s">
        <v>11</v>
      </c>
      <c r="T1517" s="156">
        <v>42798</v>
      </c>
      <c r="U1517" s="172">
        <f t="shared" si="79"/>
        <v>2017</v>
      </c>
      <c r="V1517" s="172">
        <f t="shared" si="80"/>
        <v>3</v>
      </c>
      <c r="W1517" s="157" t="s">
        <v>757</v>
      </c>
      <c r="X1517" t="s">
        <v>892</v>
      </c>
      <c r="Y1517">
        <v>104</v>
      </c>
      <c r="Z1517">
        <v>6093</v>
      </c>
      <c r="AA1517" s="13">
        <f t="shared" si="78"/>
        <v>-4927000</v>
      </c>
      <c r="AE1517" s="43"/>
      <c r="AL1517" s="87" t="s">
        <v>819</v>
      </c>
      <c r="AM1517" s="86">
        <v>510182</v>
      </c>
    </row>
    <row r="1518" spans="13:39" hidden="1">
      <c r="M1518" s="152" t="s">
        <v>917</v>
      </c>
      <c r="N1518" s="225">
        <v>7049687</v>
      </c>
      <c r="O1518" s="152" t="s">
        <v>248</v>
      </c>
      <c r="P1518" s="152" t="s">
        <v>251</v>
      </c>
      <c r="Q1518" s="133">
        <v>45657</v>
      </c>
      <c r="R1518" s="152" t="s">
        <v>935</v>
      </c>
      <c r="S1518" s="161" t="s">
        <v>11</v>
      </c>
      <c r="T1518" s="156">
        <v>42798</v>
      </c>
      <c r="U1518" s="172">
        <f t="shared" si="79"/>
        <v>2017</v>
      </c>
      <c r="V1518" s="172">
        <f t="shared" si="80"/>
        <v>3</v>
      </c>
      <c r="W1518" s="157" t="s">
        <v>757</v>
      </c>
      <c r="X1518" t="s">
        <v>892</v>
      </c>
      <c r="Y1518">
        <v>47</v>
      </c>
      <c r="Z1518">
        <v>4922</v>
      </c>
      <c r="AA1518" s="13" t="str">
        <f t="shared" si="78"/>
        <v>אין הצעות למתחם זה</v>
      </c>
      <c r="AE1518" s="43"/>
      <c r="AL1518" s="87" t="s">
        <v>819</v>
      </c>
      <c r="AM1518" s="86">
        <v>510182</v>
      </c>
    </row>
    <row r="1519" spans="13:39" hidden="1">
      <c r="M1519" s="152" t="s">
        <v>917</v>
      </c>
      <c r="N1519" s="225">
        <v>11694784</v>
      </c>
      <c r="O1519" s="152" t="s">
        <v>248</v>
      </c>
      <c r="P1519" s="152" t="s">
        <v>251</v>
      </c>
      <c r="Q1519" s="133">
        <v>45658</v>
      </c>
      <c r="R1519" s="152" t="s">
        <v>935</v>
      </c>
      <c r="S1519" s="161" t="s">
        <v>11</v>
      </c>
      <c r="T1519" s="156">
        <v>42798</v>
      </c>
      <c r="U1519" s="172">
        <f t="shared" si="79"/>
        <v>2017</v>
      </c>
      <c r="V1519" s="172">
        <f t="shared" si="80"/>
        <v>3</v>
      </c>
      <c r="W1519" s="157" t="s">
        <v>757</v>
      </c>
      <c r="X1519" t="s">
        <v>892</v>
      </c>
      <c r="Y1519">
        <v>84</v>
      </c>
      <c r="Z1519">
        <v>7378</v>
      </c>
      <c r="AA1519" s="13" t="str">
        <f t="shared" si="78"/>
        <v>אין הצעות למתחם זה</v>
      </c>
      <c r="AE1519" s="43"/>
      <c r="AL1519" s="87" t="s">
        <v>819</v>
      </c>
      <c r="AM1519" s="86">
        <v>510679</v>
      </c>
    </row>
    <row r="1520" spans="13:39" hidden="1">
      <c r="M1520" s="152" t="s">
        <v>917</v>
      </c>
      <c r="N1520" s="225">
        <v>6678752</v>
      </c>
      <c r="O1520" s="152" t="s">
        <v>248</v>
      </c>
      <c r="P1520" s="152" t="s">
        <v>251</v>
      </c>
      <c r="Q1520" s="133">
        <v>45659</v>
      </c>
      <c r="R1520" s="152" t="s">
        <v>935</v>
      </c>
      <c r="S1520" s="161" t="s">
        <v>11</v>
      </c>
      <c r="T1520" s="156">
        <v>42798</v>
      </c>
      <c r="U1520" s="172">
        <f t="shared" si="79"/>
        <v>2017</v>
      </c>
      <c r="V1520" s="172">
        <f t="shared" si="80"/>
        <v>3</v>
      </c>
      <c r="W1520" s="157" t="s">
        <v>757</v>
      </c>
      <c r="X1520" t="s">
        <v>892</v>
      </c>
      <c r="Y1520">
        <v>42</v>
      </c>
      <c r="Z1520">
        <v>4744</v>
      </c>
      <c r="AA1520" s="13" t="str">
        <f t="shared" si="78"/>
        <v>אין הצעות למתחם זה</v>
      </c>
      <c r="AE1520" s="43"/>
      <c r="AL1520" s="87" t="s">
        <v>819</v>
      </c>
      <c r="AM1520" s="86">
        <v>510679</v>
      </c>
    </row>
    <row r="1521" spans="13:39" hidden="1">
      <c r="M1521" s="154">
        <v>7488</v>
      </c>
      <c r="N1521" s="225">
        <v>22526322</v>
      </c>
      <c r="O1521" s="152" t="s">
        <v>248</v>
      </c>
      <c r="P1521" s="152" t="s">
        <v>251</v>
      </c>
      <c r="Q1521" s="133">
        <v>42127</v>
      </c>
      <c r="R1521" s="152" t="s">
        <v>35</v>
      </c>
      <c r="S1521" s="161" t="s">
        <v>35</v>
      </c>
      <c r="T1521" s="156">
        <v>42952</v>
      </c>
      <c r="U1521" s="172">
        <f t="shared" si="79"/>
        <v>2017</v>
      </c>
      <c r="V1521" s="172">
        <f t="shared" si="80"/>
        <v>8</v>
      </c>
      <c r="W1521" s="157" t="s">
        <v>944</v>
      </c>
      <c r="X1521" t="s">
        <v>892</v>
      </c>
      <c r="Y1521">
        <v>68</v>
      </c>
      <c r="Z1521">
        <v>9820</v>
      </c>
      <c r="AA1521" s="13">
        <f t="shared" si="78"/>
        <v>4188800</v>
      </c>
      <c r="AE1521" s="43"/>
      <c r="AL1521" s="87" t="s">
        <v>819</v>
      </c>
      <c r="AM1521" s="86">
        <v>511490</v>
      </c>
    </row>
    <row r="1522" spans="13:39" hidden="1">
      <c r="M1522" s="131">
        <v>13622</v>
      </c>
      <c r="N1522" s="224">
        <v>29204115</v>
      </c>
      <c r="O1522" s="132" t="s">
        <v>248</v>
      </c>
      <c r="P1522" s="132" t="s">
        <v>251</v>
      </c>
      <c r="Q1522" s="135" t="s">
        <v>254</v>
      </c>
      <c r="R1522" s="132" t="s">
        <v>328</v>
      </c>
      <c r="S1522" s="132" t="s">
        <v>13</v>
      </c>
      <c r="T1522" s="134">
        <v>42731</v>
      </c>
      <c r="U1522" s="172">
        <f t="shared" si="79"/>
        <v>2016</v>
      </c>
      <c r="V1522" s="172">
        <f t="shared" si="80"/>
        <v>12</v>
      </c>
      <c r="W1522" s="95" t="s">
        <v>329</v>
      </c>
      <c r="X1522" t="s">
        <v>892</v>
      </c>
      <c r="Y1522">
        <v>156</v>
      </c>
      <c r="Z1522" s="13">
        <f>29204115/3166</f>
        <v>9224.2940619077708</v>
      </c>
      <c r="AA1522" s="13">
        <f t="shared" si="78"/>
        <v>81377400</v>
      </c>
      <c r="AB1522" s="14">
        <v>0.85</v>
      </c>
      <c r="AE1522" s="43"/>
      <c r="AL1522" s="87" t="s">
        <v>819</v>
      </c>
      <c r="AM1522" s="86">
        <v>511490</v>
      </c>
    </row>
    <row r="1523" spans="13:39" hidden="1">
      <c r="M1523" s="131">
        <v>13774</v>
      </c>
      <c r="N1523" s="224">
        <v>40804622</v>
      </c>
      <c r="O1523" s="132" t="s">
        <v>248</v>
      </c>
      <c r="P1523" s="132" t="s">
        <v>251</v>
      </c>
      <c r="Q1523" s="135" t="s">
        <v>256</v>
      </c>
      <c r="R1523" s="132" t="s">
        <v>328</v>
      </c>
      <c r="S1523" s="132" t="s">
        <v>13</v>
      </c>
      <c r="T1523" s="134">
        <v>42731</v>
      </c>
      <c r="U1523" s="172">
        <f t="shared" si="79"/>
        <v>2016</v>
      </c>
      <c r="V1523" s="172">
        <f t="shared" si="80"/>
        <v>12</v>
      </c>
      <c r="W1523" s="95" t="s">
        <v>329</v>
      </c>
      <c r="X1523" t="s">
        <v>892</v>
      </c>
      <c r="Y1523">
        <f>54+81+27+27+35</f>
        <v>224</v>
      </c>
      <c r="Z1523" s="13">
        <f>3503+5459+1705+1653+2006</f>
        <v>14326</v>
      </c>
      <c r="AA1523" s="13">
        <f t="shared" si="78"/>
        <v>119403200</v>
      </c>
      <c r="AE1523" s="43"/>
      <c r="AL1523" s="87" t="s">
        <v>819</v>
      </c>
      <c r="AM1523" s="86">
        <v>511490</v>
      </c>
    </row>
    <row r="1524" spans="13:39" hidden="1">
      <c r="M1524" s="131">
        <v>14574</v>
      </c>
      <c r="N1524" s="224">
        <v>55053545</v>
      </c>
      <c r="O1524" s="132" t="s">
        <v>248</v>
      </c>
      <c r="P1524" s="132" t="s">
        <v>251</v>
      </c>
      <c r="Q1524" s="135" t="s">
        <v>260</v>
      </c>
      <c r="R1524" s="132" t="s">
        <v>328</v>
      </c>
      <c r="S1524" s="132" t="s">
        <v>13</v>
      </c>
      <c r="T1524" s="134">
        <v>42731</v>
      </c>
      <c r="U1524" s="172">
        <f t="shared" si="79"/>
        <v>2016</v>
      </c>
      <c r="V1524" s="172">
        <f t="shared" si="80"/>
        <v>12</v>
      </c>
      <c r="W1524" s="95" t="s">
        <v>329</v>
      </c>
      <c r="X1524" t="s">
        <v>892</v>
      </c>
      <c r="Y1524">
        <f>105+70+70+105</f>
        <v>350</v>
      </c>
      <c r="Z1524" s="13">
        <f>N1524/3776</f>
        <v>14579.858315677966</v>
      </c>
      <c r="AA1524" s="13">
        <f t="shared" si="78"/>
        <v>207567500</v>
      </c>
      <c r="AB1524" s="14">
        <v>0.85</v>
      </c>
      <c r="AE1524" s="43"/>
      <c r="AL1524" s="87" t="s">
        <v>819</v>
      </c>
      <c r="AM1524" s="86">
        <v>511986</v>
      </c>
    </row>
    <row r="1525" spans="13:39" hidden="1">
      <c r="M1525" s="131">
        <v>14742</v>
      </c>
      <c r="N1525" s="224">
        <v>37154460</v>
      </c>
      <c r="O1525" s="132" t="s">
        <v>248</v>
      </c>
      <c r="P1525" s="132" t="s">
        <v>251</v>
      </c>
      <c r="Q1525" s="135" t="s">
        <v>259</v>
      </c>
      <c r="R1525" s="132" t="s">
        <v>328</v>
      </c>
      <c r="S1525" s="132" t="s">
        <v>13</v>
      </c>
      <c r="T1525" s="134">
        <v>42731</v>
      </c>
      <c r="U1525" s="172">
        <f t="shared" si="79"/>
        <v>2016</v>
      </c>
      <c r="V1525" s="172">
        <f t="shared" si="80"/>
        <v>12</v>
      </c>
      <c r="W1525" s="95" t="s">
        <v>329</v>
      </c>
      <c r="X1525" t="s">
        <v>892</v>
      </c>
      <c r="Y1525">
        <f>140+105</f>
        <v>245</v>
      </c>
      <c r="Z1525" s="13">
        <f>N1525/4218</f>
        <v>8808.5490753911799</v>
      </c>
      <c r="AA1525" s="13">
        <f t="shared" si="78"/>
        <v>148384250</v>
      </c>
      <c r="AE1525" s="43"/>
      <c r="AL1525" s="87" t="s">
        <v>819</v>
      </c>
      <c r="AM1525" s="86">
        <v>512483</v>
      </c>
    </row>
    <row r="1526" spans="13:39" hidden="1">
      <c r="M1526" s="131">
        <v>14889</v>
      </c>
      <c r="N1526" s="224">
        <v>43379529</v>
      </c>
      <c r="O1526" s="132" t="s">
        <v>248</v>
      </c>
      <c r="P1526" s="132" t="s">
        <v>251</v>
      </c>
      <c r="Q1526" s="135" t="s">
        <v>258</v>
      </c>
      <c r="R1526" s="132" t="s">
        <v>328</v>
      </c>
      <c r="S1526" s="132" t="s">
        <v>13</v>
      </c>
      <c r="T1526" s="134">
        <v>42731</v>
      </c>
      <c r="U1526" s="172">
        <f t="shared" si="79"/>
        <v>2016</v>
      </c>
      <c r="V1526" s="172">
        <f t="shared" si="80"/>
        <v>12</v>
      </c>
      <c r="W1526" s="95" t="s">
        <v>329</v>
      </c>
      <c r="X1526" t="s">
        <v>892</v>
      </c>
      <c r="Y1526">
        <f>141+70+70</f>
        <v>281</v>
      </c>
      <c r="Z1526" s="13">
        <f>N1526/4070</f>
        <v>10658.360933660933</v>
      </c>
      <c r="AA1526" s="13">
        <f t="shared" si="78"/>
        <v>173285675</v>
      </c>
      <c r="AB1526" s="14">
        <v>0.85</v>
      </c>
      <c r="AE1526" s="43"/>
      <c r="AL1526" s="87" t="s">
        <v>819</v>
      </c>
      <c r="AM1526" s="86">
        <v>512661</v>
      </c>
    </row>
    <row r="1527" spans="13:39" hidden="1">
      <c r="M1527" s="131">
        <v>14995</v>
      </c>
      <c r="N1527" s="224">
        <v>32361713</v>
      </c>
      <c r="O1527" s="132" t="s">
        <v>248</v>
      </c>
      <c r="P1527" s="132" t="s">
        <v>251</v>
      </c>
      <c r="Q1527" s="135" t="s">
        <v>257</v>
      </c>
      <c r="R1527" s="132" t="s">
        <v>328</v>
      </c>
      <c r="S1527" s="132" t="s">
        <v>13</v>
      </c>
      <c r="T1527" s="134">
        <v>42731</v>
      </c>
      <c r="U1527" s="172">
        <f t="shared" si="79"/>
        <v>2016</v>
      </c>
      <c r="V1527" s="172">
        <f t="shared" si="80"/>
        <v>12</v>
      </c>
      <c r="W1527" s="95" t="s">
        <v>329</v>
      </c>
      <c r="X1527" t="s">
        <v>892</v>
      </c>
      <c r="Y1527">
        <f>72+70+70</f>
        <v>212</v>
      </c>
      <c r="Z1527" s="13">
        <f>2505+3093+2185</f>
        <v>7783</v>
      </c>
      <c r="AA1527" s="13">
        <f t="shared" si="78"/>
        <v>132420500</v>
      </c>
      <c r="AE1527" s="43"/>
      <c r="AL1527" s="87" t="s">
        <v>819</v>
      </c>
      <c r="AM1527" s="86">
        <v>5129074</v>
      </c>
    </row>
    <row r="1528" spans="13:39" ht="25.5" hidden="1">
      <c r="M1528" s="154">
        <v>7469</v>
      </c>
      <c r="N1528" s="225"/>
      <c r="O1528" s="152" t="s">
        <v>248</v>
      </c>
      <c r="P1528" s="152" t="s">
        <v>251</v>
      </c>
      <c r="Q1528" s="135" t="s">
        <v>254</v>
      </c>
      <c r="R1528" s="152" t="s">
        <v>974</v>
      </c>
      <c r="S1528" s="161" t="s">
        <v>980</v>
      </c>
      <c r="T1528" s="156">
        <v>42798</v>
      </c>
      <c r="U1528" s="172">
        <f t="shared" si="79"/>
        <v>2017</v>
      </c>
      <c r="V1528" s="172">
        <f t="shared" si="80"/>
        <v>3</v>
      </c>
      <c r="W1528" s="157" t="s">
        <v>975</v>
      </c>
      <c r="X1528" t="e">
        <f>MATCH($W1528,$E$30:$E$125,0)</f>
        <v>#N/A</v>
      </c>
      <c r="AA1528" s="13">
        <f t="shared" si="78"/>
        <v>0</v>
      </c>
      <c r="AE1528" s="43"/>
      <c r="AL1528" s="87" t="s">
        <v>819</v>
      </c>
      <c r="AM1528" s="86">
        <v>512915</v>
      </c>
    </row>
    <row r="1529" spans="13:39" hidden="1">
      <c r="M1529" s="152" t="s">
        <v>917</v>
      </c>
      <c r="N1529" s="225">
        <v>326042</v>
      </c>
      <c r="O1529" s="152" t="s">
        <v>248</v>
      </c>
      <c r="P1529" s="152" t="s">
        <v>251</v>
      </c>
      <c r="Q1529" s="135" t="s">
        <v>254</v>
      </c>
      <c r="R1529" s="152" t="s">
        <v>940</v>
      </c>
      <c r="S1529" s="161" t="s">
        <v>976</v>
      </c>
      <c r="T1529" s="156">
        <v>42952</v>
      </c>
      <c r="U1529" s="172">
        <f t="shared" si="79"/>
        <v>2017</v>
      </c>
      <c r="V1529" s="172">
        <f t="shared" si="80"/>
        <v>8</v>
      </c>
      <c r="W1529" s="157" t="s">
        <v>941</v>
      </c>
      <c r="X1529" t="e">
        <f>MATCH($W1529,$E$30:$E$125,0)</f>
        <v>#N/A</v>
      </c>
      <c r="AA1529" s="13" t="str">
        <f t="shared" si="78"/>
        <v>אין הצעות למתחם זה</v>
      </c>
      <c r="AE1529" s="43"/>
      <c r="AL1529" s="87" t="s">
        <v>819</v>
      </c>
      <c r="AM1529" s="86">
        <v>51301540</v>
      </c>
    </row>
    <row r="1530" spans="13:39" hidden="1">
      <c r="M1530" s="154">
        <v>1420457</v>
      </c>
      <c r="N1530" s="225">
        <v>5003647</v>
      </c>
      <c r="O1530" s="152" t="s">
        <v>248</v>
      </c>
      <c r="P1530" s="152" t="s">
        <v>245</v>
      </c>
      <c r="Q1530" s="133">
        <v>41213</v>
      </c>
      <c r="R1530" s="152" t="s">
        <v>963</v>
      </c>
      <c r="S1530" s="161" t="s">
        <v>979</v>
      </c>
      <c r="T1530" s="165">
        <v>42848</v>
      </c>
      <c r="U1530" s="172">
        <f t="shared" si="79"/>
        <v>2017</v>
      </c>
      <c r="V1530" s="172">
        <f t="shared" si="80"/>
        <v>4</v>
      </c>
      <c r="W1530" s="157" t="s">
        <v>964</v>
      </c>
      <c r="X1530" t="e">
        <f>MATCH($W1530,$E$30:$E$125,0)</f>
        <v>#N/A</v>
      </c>
      <c r="AA1530" s="13">
        <f t="shared" si="78"/>
        <v>1420457</v>
      </c>
      <c r="AB1530" s="14">
        <v>0.85</v>
      </c>
      <c r="AC1530" s="152" t="s">
        <v>955</v>
      </c>
      <c r="AD1530" s="165">
        <v>42848</v>
      </c>
      <c r="AE1530" s="43"/>
      <c r="AL1530" s="87" t="s">
        <v>819</v>
      </c>
      <c r="AM1530" s="86">
        <v>5130876</v>
      </c>
    </row>
    <row r="1531" spans="13:39" hidden="1">
      <c r="M1531" s="152" t="s">
        <v>917</v>
      </c>
      <c r="N1531" s="225">
        <v>2699033</v>
      </c>
      <c r="O1531" s="152" t="s">
        <v>248</v>
      </c>
      <c r="P1531" s="152" t="s">
        <v>245</v>
      </c>
      <c r="Q1531" s="133">
        <v>41216</v>
      </c>
      <c r="R1531" s="152" t="s">
        <v>963</v>
      </c>
      <c r="S1531" s="161" t="s">
        <v>979</v>
      </c>
      <c r="T1531" s="165">
        <v>42848</v>
      </c>
      <c r="U1531" s="172">
        <f t="shared" si="79"/>
        <v>2017</v>
      </c>
      <c r="V1531" s="172">
        <f t="shared" si="80"/>
        <v>4</v>
      </c>
      <c r="W1531" s="157" t="s">
        <v>964</v>
      </c>
      <c r="X1531" t="e">
        <f>MATCH($W1531,$E$30:$E$125,0)</f>
        <v>#N/A</v>
      </c>
      <c r="AA1531" s="13" t="str">
        <f t="shared" si="78"/>
        <v>אין הצעות למתחם זה</v>
      </c>
      <c r="AE1531" s="43"/>
      <c r="AL1531" s="87" t="s">
        <v>819</v>
      </c>
      <c r="AM1531" s="86">
        <v>513156</v>
      </c>
    </row>
    <row r="1532" spans="13:39" hidden="1">
      <c r="M1532" s="152" t="s">
        <v>917</v>
      </c>
      <c r="N1532" s="225">
        <v>3799908</v>
      </c>
      <c r="O1532" s="152" t="s">
        <v>248</v>
      </c>
      <c r="P1532" s="152" t="s">
        <v>245</v>
      </c>
      <c r="Q1532" s="133">
        <v>45357</v>
      </c>
      <c r="R1532" s="152" t="s">
        <v>963</v>
      </c>
      <c r="S1532" s="161" t="s">
        <v>979</v>
      </c>
      <c r="T1532" s="165">
        <v>42848</v>
      </c>
      <c r="U1532" s="172">
        <f t="shared" si="79"/>
        <v>2017</v>
      </c>
      <c r="V1532" s="172">
        <f t="shared" si="80"/>
        <v>4</v>
      </c>
      <c r="W1532" s="157" t="s">
        <v>964</v>
      </c>
      <c r="X1532" t="e">
        <f>MATCH($W1532,$E$30:$E$125,0)</f>
        <v>#N/A</v>
      </c>
      <c r="AA1532" s="13" t="str">
        <f t="shared" si="78"/>
        <v>אין הצעות למתחם זה</v>
      </c>
      <c r="AE1532" s="43"/>
      <c r="AL1532" s="87" t="s">
        <v>819</v>
      </c>
      <c r="AM1532" s="86">
        <v>513156</v>
      </c>
    </row>
    <row r="1533" spans="13:39" hidden="1">
      <c r="M1533" s="131">
        <v>5450</v>
      </c>
      <c r="N1533" s="223">
        <v>254358</v>
      </c>
      <c r="O1533" s="132" t="s">
        <v>248</v>
      </c>
      <c r="P1533" s="132" t="s">
        <v>251</v>
      </c>
      <c r="Q1533" s="133">
        <v>3</v>
      </c>
      <c r="R1533" s="132" t="s">
        <v>146</v>
      </c>
      <c r="S1533" s="132" t="s">
        <v>146</v>
      </c>
      <c r="T1533" s="134">
        <v>42401</v>
      </c>
      <c r="U1533" s="172">
        <f t="shared" si="79"/>
        <v>2016</v>
      </c>
      <c r="V1533" s="172">
        <f t="shared" si="80"/>
        <v>2</v>
      </c>
      <c r="W1533" s="44" t="s">
        <v>695</v>
      </c>
      <c r="X1533" t="s">
        <v>894</v>
      </c>
      <c r="Y1533">
        <v>21</v>
      </c>
      <c r="Z1533">
        <v>1846</v>
      </c>
      <c r="AA1533" s="13">
        <f t="shared" si="78"/>
        <v>-1916250</v>
      </c>
      <c r="AE1533" s="43"/>
      <c r="AL1533" s="87" t="s">
        <v>819</v>
      </c>
      <c r="AM1533" s="86">
        <v>513323</v>
      </c>
    </row>
    <row r="1534" spans="13:39" hidden="1">
      <c r="M1534" s="131">
        <v>6377</v>
      </c>
      <c r="N1534" s="223">
        <v>7680000</v>
      </c>
      <c r="O1534" s="132" t="s">
        <v>248</v>
      </c>
      <c r="P1534" s="132" t="s">
        <v>251</v>
      </c>
      <c r="Q1534" s="133">
        <v>43271</v>
      </c>
      <c r="R1534" s="132" t="s">
        <v>693</v>
      </c>
      <c r="S1534" s="132" t="s">
        <v>146</v>
      </c>
      <c r="T1534" s="134">
        <v>42520</v>
      </c>
      <c r="U1534" s="172">
        <f t="shared" si="79"/>
        <v>2016</v>
      </c>
      <c r="V1534" s="172">
        <f t="shared" si="80"/>
        <v>5</v>
      </c>
      <c r="W1534" s="44" t="s">
        <v>694</v>
      </c>
      <c r="X1534" t="s">
        <v>892</v>
      </c>
      <c r="Y1534">
        <v>64</v>
      </c>
      <c r="Z1534">
        <v>6306</v>
      </c>
      <c r="AA1534" s="13">
        <f t="shared" si="78"/>
        <v>-1390400</v>
      </c>
      <c r="AE1534" s="43"/>
      <c r="AL1534" s="87" t="s">
        <v>819</v>
      </c>
      <c r="AM1534" s="86">
        <v>513323</v>
      </c>
    </row>
    <row r="1535" spans="13:39" hidden="1">
      <c r="M1535" s="131">
        <v>6377</v>
      </c>
      <c r="N1535" s="223">
        <v>8760001</v>
      </c>
      <c r="O1535" s="132" t="s">
        <v>248</v>
      </c>
      <c r="P1535" s="132" t="s">
        <v>251</v>
      </c>
      <c r="Q1535" s="133">
        <v>43272</v>
      </c>
      <c r="R1535" s="132" t="s">
        <v>693</v>
      </c>
      <c r="S1535" s="132" t="s">
        <v>146</v>
      </c>
      <c r="T1535" s="134">
        <v>42520</v>
      </c>
      <c r="U1535" s="172">
        <f t="shared" si="79"/>
        <v>2016</v>
      </c>
      <c r="V1535" s="172">
        <f t="shared" si="80"/>
        <v>5</v>
      </c>
      <c r="W1535" s="44" t="s">
        <v>694</v>
      </c>
      <c r="X1535" t="s">
        <v>892</v>
      </c>
      <c r="Y1535">
        <v>73</v>
      </c>
      <c r="Z1535">
        <v>7182</v>
      </c>
      <c r="AA1535" s="13">
        <f t="shared" si="78"/>
        <v>-1585925</v>
      </c>
      <c r="AE1535" s="43"/>
      <c r="AL1535" s="87" t="s">
        <v>819</v>
      </c>
      <c r="AM1535" s="86">
        <v>513323</v>
      </c>
    </row>
    <row r="1536" spans="13:39" hidden="1">
      <c r="M1536" s="131">
        <v>6548</v>
      </c>
      <c r="N1536" s="223">
        <v>23519999</v>
      </c>
      <c r="O1536" s="132" t="s">
        <v>248</v>
      </c>
      <c r="P1536" s="132" t="s">
        <v>251</v>
      </c>
      <c r="Q1536" s="133">
        <v>43282</v>
      </c>
      <c r="R1536" s="132" t="s">
        <v>693</v>
      </c>
      <c r="S1536" s="132" t="s">
        <v>146</v>
      </c>
      <c r="T1536" s="134">
        <v>42520</v>
      </c>
      <c r="U1536" s="172">
        <f t="shared" si="79"/>
        <v>2016</v>
      </c>
      <c r="V1536" s="172">
        <f t="shared" si="80"/>
        <v>5</v>
      </c>
      <c r="W1536" s="44" t="s">
        <v>694</v>
      </c>
      <c r="X1536" t="s">
        <v>892</v>
      </c>
      <c r="Y1536">
        <v>304</v>
      </c>
      <c r="Z1536">
        <v>14508</v>
      </c>
      <c r="AA1536" s="13">
        <f t="shared" si="78"/>
        <v>-2705600</v>
      </c>
      <c r="AE1536" s="43"/>
      <c r="AL1536" s="87" t="s">
        <v>819</v>
      </c>
      <c r="AM1536" s="86">
        <v>513323</v>
      </c>
    </row>
    <row r="1537" spans="13:39" hidden="1">
      <c r="M1537" s="131">
        <v>6660</v>
      </c>
      <c r="N1537" s="223">
        <v>25319999</v>
      </c>
      <c r="O1537" s="132" t="s">
        <v>248</v>
      </c>
      <c r="P1537" s="132" t="s">
        <v>251</v>
      </c>
      <c r="Q1537" s="133">
        <v>43276</v>
      </c>
      <c r="R1537" s="132" t="s">
        <v>693</v>
      </c>
      <c r="S1537" s="132" t="s">
        <v>146</v>
      </c>
      <c r="T1537" s="134">
        <v>42520</v>
      </c>
      <c r="U1537" s="172">
        <f t="shared" si="79"/>
        <v>2016</v>
      </c>
      <c r="V1537" s="172">
        <f t="shared" si="80"/>
        <v>5</v>
      </c>
      <c r="W1537" s="44" t="s">
        <v>694</v>
      </c>
      <c r="X1537" t="s">
        <v>892</v>
      </c>
      <c r="Y1537">
        <v>211</v>
      </c>
      <c r="Z1537">
        <v>23039</v>
      </c>
      <c r="AA1537" s="13">
        <f t="shared" si="78"/>
        <v>-105500</v>
      </c>
      <c r="AB1537" s="14">
        <v>0.85</v>
      </c>
      <c r="AE1537" s="43"/>
      <c r="AL1537" s="87" t="s">
        <v>819</v>
      </c>
      <c r="AM1537" s="86">
        <v>513323</v>
      </c>
    </row>
    <row r="1538" spans="13:39" hidden="1">
      <c r="M1538" s="131">
        <v>6688</v>
      </c>
      <c r="N1538" s="223">
        <v>14830380</v>
      </c>
      <c r="O1538" s="132" t="s">
        <v>248</v>
      </c>
      <c r="P1538" s="132" t="s">
        <v>251</v>
      </c>
      <c r="Q1538" s="133">
        <v>46315</v>
      </c>
      <c r="R1538" s="132" t="s">
        <v>146</v>
      </c>
      <c r="S1538" s="132" t="s">
        <v>146</v>
      </c>
      <c r="T1538" s="134">
        <v>42725</v>
      </c>
      <c r="U1538" s="172">
        <f t="shared" si="79"/>
        <v>2016</v>
      </c>
      <c r="V1538" s="172">
        <f t="shared" si="80"/>
        <v>12</v>
      </c>
      <c r="W1538" s="44" t="s">
        <v>692</v>
      </c>
      <c r="X1538" t="s">
        <v>892</v>
      </c>
      <c r="Y1538">
        <v>78</v>
      </c>
      <c r="AA1538" s="13">
        <f t="shared" si="78"/>
        <v>124800</v>
      </c>
      <c r="AE1538" s="43"/>
      <c r="AL1538" s="87" t="s">
        <v>819</v>
      </c>
      <c r="AM1538" s="86">
        <v>513323</v>
      </c>
    </row>
    <row r="1539" spans="13:39" hidden="1">
      <c r="M1539" s="131">
        <v>6960</v>
      </c>
      <c r="N1539" s="223">
        <v>36480001</v>
      </c>
      <c r="O1539" s="132" t="s">
        <v>248</v>
      </c>
      <c r="P1539" s="132" t="s">
        <v>251</v>
      </c>
      <c r="Q1539" s="133">
        <v>43275</v>
      </c>
      <c r="R1539" s="132" t="s">
        <v>693</v>
      </c>
      <c r="S1539" s="132" t="s">
        <v>146</v>
      </c>
      <c r="T1539" s="134">
        <v>42520</v>
      </c>
      <c r="U1539" s="172">
        <f t="shared" si="79"/>
        <v>2016</v>
      </c>
      <c r="V1539" s="172">
        <f t="shared" si="80"/>
        <v>5</v>
      </c>
      <c r="W1539" s="44" t="s">
        <v>694</v>
      </c>
      <c r="X1539" t="s">
        <v>892</v>
      </c>
      <c r="Y1539">
        <v>244</v>
      </c>
      <c r="Z1539">
        <v>14121</v>
      </c>
      <c r="AA1539" s="13">
        <f t="shared" si="78"/>
        <v>5368000</v>
      </c>
      <c r="AE1539" s="43"/>
      <c r="AL1539" s="87" t="s">
        <v>819</v>
      </c>
      <c r="AM1539" s="86">
        <v>513323</v>
      </c>
    </row>
    <row r="1540" spans="13:39" hidden="1">
      <c r="M1540" s="131">
        <v>6979</v>
      </c>
      <c r="N1540" s="223">
        <v>29280001</v>
      </c>
      <c r="O1540" s="132" t="s">
        <v>248</v>
      </c>
      <c r="P1540" s="132" t="s">
        <v>251</v>
      </c>
      <c r="Q1540" s="133">
        <v>43277</v>
      </c>
      <c r="R1540" s="132" t="s">
        <v>693</v>
      </c>
      <c r="S1540" s="132" t="s">
        <v>146</v>
      </c>
      <c r="T1540" s="134">
        <v>42520</v>
      </c>
      <c r="U1540" s="172">
        <f t="shared" si="79"/>
        <v>2016</v>
      </c>
      <c r="V1540" s="172">
        <f t="shared" si="80"/>
        <v>5</v>
      </c>
      <c r="W1540" s="44" t="s">
        <v>694</v>
      </c>
      <c r="X1540" t="s">
        <v>892</v>
      </c>
      <c r="Y1540">
        <v>196</v>
      </c>
      <c r="Z1540">
        <v>14641</v>
      </c>
      <c r="AA1540" s="13">
        <f t="shared" ref="AA1540:AA1603" si="81">IF(M1540&lt;30000,Y1540*100*M1540*(1-$L$1)-$L$2*Y1540,M1540)</f>
        <v>4591300</v>
      </c>
      <c r="AE1540" s="43"/>
      <c r="AL1540" s="87" t="s">
        <v>819</v>
      </c>
      <c r="AM1540" s="86">
        <v>513323</v>
      </c>
    </row>
    <row r="1541" spans="13:39" hidden="1">
      <c r="M1541" s="131">
        <v>7274</v>
      </c>
      <c r="N1541" s="223">
        <v>24761169</v>
      </c>
      <c r="O1541" s="132" t="s">
        <v>248</v>
      </c>
      <c r="P1541" s="132" t="s">
        <v>251</v>
      </c>
      <c r="Q1541" s="133">
        <v>4318</v>
      </c>
      <c r="R1541" s="132" t="s">
        <v>146</v>
      </c>
      <c r="S1541" s="132" t="s">
        <v>146</v>
      </c>
      <c r="T1541" s="134">
        <v>42725</v>
      </c>
      <c r="U1541" s="172">
        <f t="shared" si="79"/>
        <v>2016</v>
      </c>
      <c r="V1541" s="172">
        <f t="shared" si="80"/>
        <v>12</v>
      </c>
      <c r="W1541" s="44" t="s">
        <v>692</v>
      </c>
      <c r="X1541" t="s">
        <v>892</v>
      </c>
      <c r="Y1541">
        <v>148</v>
      </c>
      <c r="AA1541" s="13">
        <f t="shared" si="81"/>
        <v>6741400</v>
      </c>
      <c r="AE1541" s="43"/>
      <c r="AL1541" s="87" t="s">
        <v>819</v>
      </c>
      <c r="AM1541" s="86">
        <v>513323</v>
      </c>
    </row>
    <row r="1542" spans="13:39" hidden="1">
      <c r="M1542" s="131">
        <v>7448</v>
      </c>
      <c r="N1542" s="223">
        <v>22961203</v>
      </c>
      <c r="O1542" s="132" t="s">
        <v>248</v>
      </c>
      <c r="P1542" s="132" t="s">
        <v>251</v>
      </c>
      <c r="Q1542" s="133">
        <v>46316</v>
      </c>
      <c r="R1542" s="132" t="s">
        <v>146</v>
      </c>
      <c r="S1542" s="132" t="s">
        <v>146</v>
      </c>
      <c r="T1542" s="134">
        <v>42725</v>
      </c>
      <c r="U1542" s="172">
        <f t="shared" si="79"/>
        <v>2016</v>
      </c>
      <c r="V1542" s="172">
        <f t="shared" si="80"/>
        <v>12</v>
      </c>
      <c r="W1542" s="44" t="s">
        <v>692</v>
      </c>
      <c r="X1542" t="s">
        <v>892</v>
      </c>
      <c r="Y1542">
        <v>136</v>
      </c>
      <c r="AA1542" s="13">
        <f t="shared" si="81"/>
        <v>7969600</v>
      </c>
      <c r="AE1542" s="43"/>
      <c r="AL1542" s="87" t="s">
        <v>819</v>
      </c>
      <c r="AM1542" s="86">
        <v>513323</v>
      </c>
    </row>
    <row r="1543" spans="13:39" hidden="1">
      <c r="M1543" s="131">
        <v>7534</v>
      </c>
      <c r="N1543" s="223">
        <v>21199873</v>
      </c>
      <c r="O1543" s="132" t="s">
        <v>248</v>
      </c>
      <c r="P1543" s="132" t="s">
        <v>251</v>
      </c>
      <c r="Q1543" s="133">
        <v>46317</v>
      </c>
      <c r="R1543" s="132" t="s">
        <v>146</v>
      </c>
      <c r="S1543" s="132" t="s">
        <v>146</v>
      </c>
      <c r="T1543" s="134">
        <v>42725</v>
      </c>
      <c r="U1543" s="172">
        <f t="shared" ref="U1543:U1606" si="82">YEAR($T1543)</f>
        <v>2016</v>
      </c>
      <c r="V1543" s="172">
        <f t="shared" ref="V1543:V1606" si="83">MONTH($T1543)</f>
        <v>12</v>
      </c>
      <c r="W1543" s="44" t="s">
        <v>692</v>
      </c>
      <c r="X1543" t="s">
        <v>892</v>
      </c>
      <c r="Y1543">
        <v>136</v>
      </c>
      <c r="AA1543" s="13">
        <f t="shared" si="81"/>
        <v>8846800</v>
      </c>
      <c r="AE1543" s="43"/>
      <c r="AL1543" s="87" t="s">
        <v>819</v>
      </c>
      <c r="AM1543" s="86">
        <v>513323</v>
      </c>
    </row>
    <row r="1544" spans="13:39" hidden="1">
      <c r="M1544" s="131">
        <v>3333333</v>
      </c>
      <c r="N1544" s="223">
        <v>9157533</v>
      </c>
      <c r="O1544" s="132" t="s">
        <v>248</v>
      </c>
      <c r="P1544" s="132" t="s">
        <v>245</v>
      </c>
      <c r="Q1544" s="133">
        <v>35330</v>
      </c>
      <c r="R1544" s="132" t="s">
        <v>697</v>
      </c>
      <c r="S1544" s="132" t="s">
        <v>146</v>
      </c>
      <c r="T1544" s="134">
        <v>41953</v>
      </c>
      <c r="U1544" s="172">
        <f t="shared" si="82"/>
        <v>2014</v>
      </c>
      <c r="V1544" s="172">
        <f t="shared" si="83"/>
        <v>11</v>
      </c>
      <c r="W1544" s="44" t="s">
        <v>698</v>
      </c>
      <c r="X1544" t="s">
        <v>892</v>
      </c>
      <c r="Y1544">
        <v>64</v>
      </c>
      <c r="Z1544">
        <v>3889</v>
      </c>
      <c r="AA1544" s="13">
        <f t="shared" si="81"/>
        <v>3333333</v>
      </c>
      <c r="AE1544" s="43"/>
      <c r="AL1544" s="87" t="s">
        <v>819</v>
      </c>
      <c r="AM1544" s="86">
        <v>513323</v>
      </c>
    </row>
    <row r="1545" spans="13:39" hidden="1">
      <c r="M1545" s="131">
        <v>3777888</v>
      </c>
      <c r="N1545" s="223">
        <v>9781221</v>
      </c>
      <c r="O1545" s="132" t="s">
        <v>248</v>
      </c>
      <c r="P1545" s="132" t="s">
        <v>245</v>
      </c>
      <c r="Q1545" s="133">
        <v>24073</v>
      </c>
      <c r="R1545" s="132" t="s">
        <v>697</v>
      </c>
      <c r="S1545" s="132" t="s">
        <v>146</v>
      </c>
      <c r="T1545" s="134">
        <v>41953</v>
      </c>
      <c r="U1545" s="172">
        <f t="shared" si="82"/>
        <v>2014</v>
      </c>
      <c r="V1545" s="172">
        <f t="shared" si="83"/>
        <v>11</v>
      </c>
      <c r="W1545" s="44" t="s">
        <v>698</v>
      </c>
      <c r="X1545" t="s">
        <v>892</v>
      </c>
      <c r="Y1545">
        <v>64</v>
      </c>
      <c r="Z1545">
        <v>4674</v>
      </c>
      <c r="AA1545" s="13">
        <f t="shared" si="81"/>
        <v>3777888</v>
      </c>
      <c r="AE1545" s="43"/>
      <c r="AL1545" s="87" t="s">
        <v>819</v>
      </c>
      <c r="AM1545" s="86">
        <v>513323</v>
      </c>
    </row>
    <row r="1546" spans="13:39" hidden="1">
      <c r="M1546" s="131">
        <v>4444445</v>
      </c>
      <c r="N1546" s="223">
        <v>10446974</v>
      </c>
      <c r="O1546" s="132" t="s">
        <v>248</v>
      </c>
      <c r="P1546" s="132" t="s">
        <v>245</v>
      </c>
      <c r="Q1546" s="133">
        <v>24063</v>
      </c>
      <c r="R1546" s="132" t="s">
        <v>697</v>
      </c>
      <c r="S1546" s="132" t="s">
        <v>146</v>
      </c>
      <c r="T1546" s="134">
        <v>41826</v>
      </c>
      <c r="U1546" s="172">
        <f t="shared" si="82"/>
        <v>2014</v>
      </c>
      <c r="V1546" s="172">
        <f t="shared" si="83"/>
        <v>7</v>
      </c>
      <c r="W1546" s="44" t="s">
        <v>699</v>
      </c>
      <c r="X1546" t="s">
        <v>892</v>
      </c>
      <c r="Y1546">
        <v>76</v>
      </c>
      <c r="Z1546">
        <v>6147</v>
      </c>
      <c r="AA1546" s="13">
        <f t="shared" si="81"/>
        <v>4444445</v>
      </c>
      <c r="AE1546" s="43"/>
      <c r="AL1546" s="87" t="s">
        <v>819</v>
      </c>
      <c r="AM1546" s="86">
        <v>513323</v>
      </c>
    </row>
    <row r="1547" spans="13:39" hidden="1">
      <c r="M1547" s="131">
        <v>4715000</v>
      </c>
      <c r="N1547" s="223">
        <v>11298962</v>
      </c>
      <c r="O1547" s="132" t="s">
        <v>248</v>
      </c>
      <c r="P1547" s="132" t="s">
        <v>245</v>
      </c>
      <c r="Q1547" s="133">
        <v>24067</v>
      </c>
      <c r="R1547" s="132" t="s">
        <v>697</v>
      </c>
      <c r="S1547" s="132" t="s">
        <v>146</v>
      </c>
      <c r="T1547" s="134">
        <v>41826</v>
      </c>
      <c r="U1547" s="172">
        <f t="shared" si="82"/>
        <v>2014</v>
      </c>
      <c r="V1547" s="172">
        <f t="shared" si="83"/>
        <v>7</v>
      </c>
      <c r="W1547" s="44" t="s">
        <v>699</v>
      </c>
      <c r="X1547" t="s">
        <v>892</v>
      </c>
      <c r="Y1547">
        <v>80</v>
      </c>
      <c r="Z1547">
        <v>2910</v>
      </c>
      <c r="AA1547" s="13">
        <f t="shared" si="81"/>
        <v>4715000</v>
      </c>
      <c r="AE1547" s="43"/>
      <c r="AL1547" s="87" t="s">
        <v>819</v>
      </c>
      <c r="AM1547" s="86">
        <v>513323</v>
      </c>
    </row>
    <row r="1548" spans="13:39" hidden="1">
      <c r="M1548" s="131">
        <v>5700000</v>
      </c>
      <c r="N1548" s="223">
        <v>9061200</v>
      </c>
      <c r="O1548" s="132" t="s">
        <v>248</v>
      </c>
      <c r="P1548" s="132" t="s">
        <v>245</v>
      </c>
      <c r="Q1548" s="133">
        <v>35328</v>
      </c>
      <c r="R1548" s="132" t="s">
        <v>697</v>
      </c>
      <c r="S1548" s="132" t="s">
        <v>146</v>
      </c>
      <c r="T1548" s="134">
        <v>41953</v>
      </c>
      <c r="U1548" s="172">
        <f t="shared" si="82"/>
        <v>2014</v>
      </c>
      <c r="V1548" s="172">
        <f t="shared" si="83"/>
        <v>11</v>
      </c>
      <c r="W1548" s="44" t="s">
        <v>698</v>
      </c>
      <c r="X1548" t="s">
        <v>892</v>
      </c>
      <c r="Y1548">
        <v>80</v>
      </c>
      <c r="Z1548">
        <v>3419</v>
      </c>
      <c r="AA1548" s="13">
        <f t="shared" si="81"/>
        <v>5700000</v>
      </c>
      <c r="AE1548" s="43"/>
      <c r="AL1548" s="87" t="s">
        <v>819</v>
      </c>
      <c r="AM1548" s="86">
        <v>513323</v>
      </c>
    </row>
    <row r="1549" spans="13:39" hidden="1">
      <c r="M1549" s="131">
        <v>5720000</v>
      </c>
      <c r="N1549" s="223">
        <v>8487306</v>
      </c>
      <c r="O1549" s="132" t="s">
        <v>248</v>
      </c>
      <c r="P1549" s="132" t="s">
        <v>245</v>
      </c>
      <c r="Q1549" s="133">
        <v>24064</v>
      </c>
      <c r="R1549" s="132" t="s">
        <v>697</v>
      </c>
      <c r="S1549" s="132" t="s">
        <v>146</v>
      </c>
      <c r="T1549" s="134">
        <v>41826</v>
      </c>
      <c r="U1549" s="172">
        <f t="shared" si="82"/>
        <v>2014</v>
      </c>
      <c r="V1549" s="172">
        <f t="shared" si="83"/>
        <v>7</v>
      </c>
      <c r="W1549" s="44" t="s">
        <v>699</v>
      </c>
      <c r="X1549" t="s">
        <v>892</v>
      </c>
      <c r="Y1549">
        <v>94</v>
      </c>
      <c r="Z1549">
        <v>9334</v>
      </c>
      <c r="AA1549" s="13">
        <f t="shared" si="81"/>
        <v>5720000</v>
      </c>
      <c r="AE1549" s="43"/>
      <c r="AL1549" s="87" t="s">
        <v>819</v>
      </c>
      <c r="AM1549" s="86">
        <v>513323</v>
      </c>
    </row>
    <row r="1550" spans="13:39" hidden="1">
      <c r="M1550" s="131">
        <v>5785000</v>
      </c>
      <c r="N1550" s="223">
        <v>8914589</v>
      </c>
      <c r="O1550" s="132" t="s">
        <v>248</v>
      </c>
      <c r="P1550" s="132" t="s">
        <v>245</v>
      </c>
      <c r="Q1550" s="133">
        <v>35327</v>
      </c>
      <c r="R1550" s="132" t="s">
        <v>697</v>
      </c>
      <c r="S1550" s="132" t="s">
        <v>146</v>
      </c>
      <c r="T1550" s="134">
        <v>41953</v>
      </c>
      <c r="U1550" s="172">
        <f t="shared" si="82"/>
        <v>2014</v>
      </c>
      <c r="V1550" s="172">
        <f t="shared" si="83"/>
        <v>11</v>
      </c>
      <c r="W1550" s="44" t="s">
        <v>698</v>
      </c>
      <c r="X1550" t="s">
        <v>892</v>
      </c>
      <c r="Y1550">
        <v>80</v>
      </c>
      <c r="Z1550">
        <v>3233</v>
      </c>
      <c r="AA1550" s="13">
        <f t="shared" si="81"/>
        <v>5785000</v>
      </c>
      <c r="AE1550" s="43"/>
      <c r="AL1550" s="87" t="s">
        <v>819</v>
      </c>
      <c r="AM1550" s="86">
        <v>513623</v>
      </c>
    </row>
    <row r="1551" spans="13:39" hidden="1">
      <c r="M1551" s="131">
        <v>7820000</v>
      </c>
      <c r="N1551" s="223">
        <v>13325636</v>
      </c>
      <c r="O1551" s="132" t="s">
        <v>248</v>
      </c>
      <c r="P1551" s="132" t="s">
        <v>245</v>
      </c>
      <c r="Q1551" s="133">
        <v>35329</v>
      </c>
      <c r="R1551" s="132" t="s">
        <v>697</v>
      </c>
      <c r="S1551" s="132" t="s">
        <v>146</v>
      </c>
      <c r="T1551" s="134">
        <v>41953</v>
      </c>
      <c r="U1551" s="172">
        <f t="shared" si="82"/>
        <v>2014</v>
      </c>
      <c r="V1551" s="172">
        <f t="shared" si="83"/>
        <v>11</v>
      </c>
      <c r="W1551" s="44" t="s">
        <v>698</v>
      </c>
      <c r="X1551" t="s">
        <v>892</v>
      </c>
      <c r="Y1551">
        <v>104</v>
      </c>
      <c r="Z1551">
        <v>6890</v>
      </c>
      <c r="AA1551" s="13">
        <f t="shared" si="81"/>
        <v>7820000</v>
      </c>
      <c r="AC1551" s="16"/>
      <c r="AE1551" s="43"/>
      <c r="AL1551" s="87" t="s">
        <v>819</v>
      </c>
      <c r="AM1551" s="86">
        <v>513829</v>
      </c>
    </row>
    <row r="1552" spans="13:39" hidden="1">
      <c r="M1552" s="131">
        <v>8366180</v>
      </c>
      <c r="N1552" s="223">
        <v>14286488</v>
      </c>
      <c r="O1552" s="132" t="s">
        <v>248</v>
      </c>
      <c r="P1552" s="132" t="s">
        <v>245</v>
      </c>
      <c r="Q1552" s="133">
        <v>24065</v>
      </c>
      <c r="R1552" s="132" t="s">
        <v>697</v>
      </c>
      <c r="S1552" s="132" t="s">
        <v>146</v>
      </c>
      <c r="T1552" s="134">
        <v>41826</v>
      </c>
      <c r="U1552" s="172">
        <f t="shared" si="82"/>
        <v>2014</v>
      </c>
      <c r="V1552" s="172">
        <f t="shared" si="83"/>
        <v>7</v>
      </c>
      <c r="W1552" s="44" t="s">
        <v>699</v>
      </c>
      <c r="X1552" t="s">
        <v>892</v>
      </c>
      <c r="Y1552">
        <v>82</v>
      </c>
      <c r="Z1552">
        <v>6664</v>
      </c>
      <c r="AA1552" s="13">
        <f t="shared" si="81"/>
        <v>8366180</v>
      </c>
      <c r="AE1552" s="43"/>
      <c r="AL1552" s="87" t="s">
        <v>819</v>
      </c>
      <c r="AM1552" s="86">
        <v>514148</v>
      </c>
    </row>
    <row r="1553" spans="13:39" hidden="1">
      <c r="M1553" s="131">
        <v>13227000</v>
      </c>
      <c r="N1553" s="223">
        <v>18692890</v>
      </c>
      <c r="O1553" s="132" t="s">
        <v>248</v>
      </c>
      <c r="P1553" s="132" t="s">
        <v>245</v>
      </c>
      <c r="Q1553" s="133">
        <v>35326</v>
      </c>
      <c r="R1553" s="132" t="s">
        <v>697</v>
      </c>
      <c r="S1553" s="132" t="s">
        <v>146</v>
      </c>
      <c r="T1553" s="134">
        <v>41953</v>
      </c>
      <c r="U1553" s="172">
        <f t="shared" si="82"/>
        <v>2014</v>
      </c>
      <c r="V1553" s="172">
        <f t="shared" si="83"/>
        <v>11</v>
      </c>
      <c r="W1553" s="44" t="s">
        <v>698</v>
      </c>
      <c r="X1553" t="s">
        <v>892</v>
      </c>
      <c r="Y1553">
        <v>152</v>
      </c>
      <c r="Z1553">
        <v>6156</v>
      </c>
      <c r="AA1553" s="13">
        <f t="shared" si="81"/>
        <v>13227000</v>
      </c>
      <c r="AB1553" t="s">
        <v>100</v>
      </c>
      <c r="AE1553" s="43"/>
      <c r="AL1553" s="87" t="s">
        <v>819</v>
      </c>
      <c r="AM1553" s="86">
        <v>514231</v>
      </c>
    </row>
    <row r="1554" spans="13:39" hidden="1">
      <c r="M1554" s="131">
        <v>38777999</v>
      </c>
      <c r="N1554" s="223">
        <v>39495178</v>
      </c>
      <c r="O1554" s="132" t="s">
        <v>248</v>
      </c>
      <c r="P1554" s="132" t="s">
        <v>245</v>
      </c>
      <c r="Q1554" s="133">
        <v>24074</v>
      </c>
      <c r="R1554" s="132" t="s">
        <v>146</v>
      </c>
      <c r="S1554" s="132" t="s">
        <v>146</v>
      </c>
      <c r="T1554" s="134">
        <v>42369</v>
      </c>
      <c r="U1554" s="172">
        <f t="shared" si="82"/>
        <v>2015</v>
      </c>
      <c r="V1554" s="172">
        <f t="shared" si="83"/>
        <v>12</v>
      </c>
      <c r="W1554" s="44" t="s">
        <v>696</v>
      </c>
      <c r="X1554" t="s">
        <v>892</v>
      </c>
      <c r="Y1554">
        <v>117</v>
      </c>
      <c r="Z1554">
        <v>29749</v>
      </c>
      <c r="AA1554" s="13">
        <f t="shared" si="81"/>
        <v>38777999</v>
      </c>
      <c r="AB1554" t="s">
        <v>100</v>
      </c>
      <c r="AE1554" s="43"/>
      <c r="AL1554" s="87" t="s">
        <v>819</v>
      </c>
      <c r="AM1554" s="86">
        <v>514458</v>
      </c>
    </row>
    <row r="1555" spans="13:39" hidden="1">
      <c r="M1555" s="154">
        <v>3600010</v>
      </c>
      <c r="N1555" s="225"/>
      <c r="O1555" s="152" t="s">
        <v>332</v>
      </c>
      <c r="P1555" s="152" t="s">
        <v>245</v>
      </c>
      <c r="Q1555" s="133">
        <v>1</v>
      </c>
      <c r="R1555" s="152" t="s">
        <v>967</v>
      </c>
      <c r="S1555" s="161" t="s">
        <v>146</v>
      </c>
      <c r="T1555" s="156">
        <v>42848</v>
      </c>
      <c r="U1555" s="172">
        <f t="shared" si="82"/>
        <v>2017</v>
      </c>
      <c r="V1555" s="172">
        <f t="shared" si="83"/>
        <v>4</v>
      </c>
      <c r="W1555" s="157" t="s">
        <v>968</v>
      </c>
      <c r="AA1555" s="13">
        <f t="shared" si="81"/>
        <v>3600010</v>
      </c>
      <c r="AB1555" t="s">
        <v>100</v>
      </c>
      <c r="AE1555" s="43"/>
      <c r="AL1555" s="87" t="s">
        <v>819</v>
      </c>
      <c r="AM1555" s="86">
        <v>514458</v>
      </c>
    </row>
    <row r="1556" spans="13:39" hidden="1">
      <c r="M1556" s="131">
        <v>8395</v>
      </c>
      <c r="N1556" s="224">
        <v>62643201</v>
      </c>
      <c r="O1556" s="132" t="s">
        <v>248</v>
      </c>
      <c r="P1556" s="132" t="s">
        <v>251</v>
      </c>
      <c r="Q1556" s="135" t="s">
        <v>259</v>
      </c>
      <c r="R1556" s="132" t="s">
        <v>147</v>
      </c>
      <c r="S1556" s="132" t="s">
        <v>147</v>
      </c>
      <c r="T1556" s="134">
        <v>42793</v>
      </c>
      <c r="U1556" s="172">
        <f t="shared" si="82"/>
        <v>2017</v>
      </c>
      <c r="V1556" s="172">
        <f t="shared" si="83"/>
        <v>2</v>
      </c>
      <c r="W1556" s="98" t="s">
        <v>687</v>
      </c>
      <c r="X1556" t="s">
        <v>892</v>
      </c>
      <c r="Y1556" s="41">
        <v>234</v>
      </c>
      <c r="Z1556" s="13">
        <f>N1556/3466</f>
        <v>18073.629832660128</v>
      </c>
      <c r="AA1556" s="13">
        <f t="shared" si="81"/>
        <v>30332250</v>
      </c>
      <c r="AE1556" s="43"/>
      <c r="AL1556" s="87" t="s">
        <v>819</v>
      </c>
      <c r="AM1556" s="86">
        <v>514458</v>
      </c>
    </row>
    <row r="1557" spans="13:39" hidden="1">
      <c r="M1557" s="131">
        <v>8556</v>
      </c>
      <c r="N1557" s="224">
        <v>63713371</v>
      </c>
      <c r="O1557" s="132" t="s">
        <v>248</v>
      </c>
      <c r="P1557" s="132" t="s">
        <v>251</v>
      </c>
      <c r="Q1557" s="135" t="s">
        <v>260</v>
      </c>
      <c r="R1557" s="132" t="s">
        <v>147</v>
      </c>
      <c r="S1557" s="132" t="s">
        <v>147</v>
      </c>
      <c r="T1557" s="134">
        <v>42779</v>
      </c>
      <c r="U1557" s="172">
        <f t="shared" si="82"/>
        <v>2017</v>
      </c>
      <c r="V1557" s="172">
        <f t="shared" si="83"/>
        <v>2</v>
      </c>
      <c r="W1557" s="98" t="s">
        <v>688</v>
      </c>
      <c r="X1557" t="s">
        <v>892</v>
      </c>
      <c r="Y1557" s="41">
        <v>238</v>
      </c>
      <c r="Z1557" s="13">
        <f>N1557/2977</f>
        <v>21401.871346993619</v>
      </c>
      <c r="AA1557" s="13">
        <f t="shared" si="81"/>
        <v>33724600</v>
      </c>
      <c r="AE1557" s="43"/>
      <c r="AL1557" s="87" t="s">
        <v>819</v>
      </c>
      <c r="AM1557" s="86">
        <v>514458</v>
      </c>
    </row>
    <row r="1558" spans="13:39" hidden="1">
      <c r="M1558" s="131">
        <v>8557</v>
      </c>
      <c r="N1558" s="224">
        <v>21427659</v>
      </c>
      <c r="O1558" s="132" t="s">
        <v>248</v>
      </c>
      <c r="P1558" s="132" t="s">
        <v>251</v>
      </c>
      <c r="Q1558" s="135" t="s">
        <v>363</v>
      </c>
      <c r="R1558" s="132" t="s">
        <v>147</v>
      </c>
      <c r="S1558" s="132" t="s">
        <v>147</v>
      </c>
      <c r="T1558" s="134">
        <v>42793</v>
      </c>
      <c r="U1558" s="172">
        <f t="shared" si="82"/>
        <v>2017</v>
      </c>
      <c r="V1558" s="172">
        <f t="shared" si="83"/>
        <v>2</v>
      </c>
      <c r="W1558" s="98" t="s">
        <v>687</v>
      </c>
      <c r="X1558" t="s">
        <v>892</v>
      </c>
      <c r="Y1558" s="41">
        <v>76</v>
      </c>
      <c r="Z1558" s="13">
        <f>N1558/2691</f>
        <v>7962.7123745819399</v>
      </c>
      <c r="AA1558" s="13">
        <f t="shared" si="81"/>
        <v>10774900</v>
      </c>
      <c r="AE1558" s="43"/>
      <c r="AL1558" s="87" t="s">
        <v>819</v>
      </c>
      <c r="AM1558" s="86">
        <v>514458</v>
      </c>
    </row>
    <row r="1559" spans="13:39" hidden="1">
      <c r="M1559" s="131">
        <v>8595</v>
      </c>
      <c r="N1559" s="223">
        <v>30607607</v>
      </c>
      <c r="O1559" s="132" t="s">
        <v>248</v>
      </c>
      <c r="P1559" s="132" t="s">
        <v>251</v>
      </c>
      <c r="Q1559" s="135" t="s">
        <v>256</v>
      </c>
      <c r="R1559" s="132" t="s">
        <v>147</v>
      </c>
      <c r="S1559" s="132" t="s">
        <v>147</v>
      </c>
      <c r="T1559" s="134">
        <v>42779</v>
      </c>
      <c r="U1559" s="172">
        <f t="shared" si="82"/>
        <v>2017</v>
      </c>
      <c r="V1559" s="172">
        <f t="shared" si="83"/>
        <v>2</v>
      </c>
      <c r="W1559" s="98" t="s">
        <v>688</v>
      </c>
      <c r="X1559" t="s">
        <v>892</v>
      </c>
      <c r="Y1559">
        <v>120</v>
      </c>
      <c r="Z1559" s="13">
        <v>9239</v>
      </c>
      <c r="AA1559" s="13">
        <f t="shared" si="81"/>
        <v>17355000</v>
      </c>
      <c r="AE1559" s="43"/>
      <c r="AL1559" s="87" t="s">
        <v>819</v>
      </c>
      <c r="AM1559" s="86">
        <v>514458</v>
      </c>
    </row>
    <row r="1560" spans="13:39" hidden="1">
      <c r="M1560" s="131">
        <v>8595</v>
      </c>
      <c r="N1560" s="224">
        <v>39125626</v>
      </c>
      <c r="O1560" s="132" t="s">
        <v>248</v>
      </c>
      <c r="P1560" s="132" t="s">
        <v>251</v>
      </c>
      <c r="Q1560" s="135" t="s">
        <v>257</v>
      </c>
      <c r="R1560" s="132" t="s">
        <v>147</v>
      </c>
      <c r="S1560" s="132" t="s">
        <v>147</v>
      </c>
      <c r="T1560" s="134">
        <v>42779</v>
      </c>
      <c r="U1560" s="172">
        <f t="shared" si="82"/>
        <v>2017</v>
      </c>
      <c r="V1560" s="172">
        <f t="shared" si="83"/>
        <v>2</v>
      </c>
      <c r="W1560" s="98" t="s">
        <v>688</v>
      </c>
      <c r="X1560" t="s">
        <v>892</v>
      </c>
      <c r="Y1560" s="41">
        <v>120</v>
      </c>
      <c r="Z1560" s="13">
        <f>N1560/3313</f>
        <v>11809.727135526713</v>
      </c>
      <c r="AA1560" s="13">
        <f t="shared" si="81"/>
        <v>17355000</v>
      </c>
      <c r="AC1560" s="114" t="s">
        <v>319</v>
      </c>
      <c r="AE1560" s="43"/>
      <c r="AL1560" s="87" t="s">
        <v>819</v>
      </c>
      <c r="AM1560" s="86">
        <v>514458</v>
      </c>
    </row>
    <row r="1561" spans="13:39" hidden="1">
      <c r="M1561" s="131">
        <v>8600</v>
      </c>
      <c r="N1561" s="224">
        <v>18140231</v>
      </c>
      <c r="O1561" s="132" t="s">
        <v>248</v>
      </c>
      <c r="P1561" s="132" t="s">
        <v>251</v>
      </c>
      <c r="Q1561" s="135" t="s">
        <v>365</v>
      </c>
      <c r="R1561" s="132" t="s">
        <v>147</v>
      </c>
      <c r="S1561" s="132" t="s">
        <v>147</v>
      </c>
      <c r="T1561" s="134">
        <v>42793</v>
      </c>
      <c r="U1561" s="172">
        <f t="shared" si="82"/>
        <v>2017</v>
      </c>
      <c r="V1561" s="172">
        <f t="shared" si="83"/>
        <v>2</v>
      </c>
      <c r="W1561" s="98" t="s">
        <v>687</v>
      </c>
      <c r="X1561" t="s">
        <v>892</v>
      </c>
      <c r="Y1561" s="41">
        <v>78</v>
      </c>
      <c r="Z1561" s="13">
        <f>N1561/4338</f>
        <v>4181.7037805440295</v>
      </c>
      <c r="AA1561" s="13">
        <f t="shared" si="81"/>
        <v>11310000</v>
      </c>
      <c r="AE1561" s="43"/>
      <c r="AL1561" s="87" t="s">
        <v>819</v>
      </c>
      <c r="AM1561" s="86">
        <v>514458</v>
      </c>
    </row>
    <row r="1562" spans="13:39" hidden="1">
      <c r="M1562" s="131">
        <v>8605</v>
      </c>
      <c r="N1562" s="224">
        <v>20387454</v>
      </c>
      <c r="O1562" s="132" t="s">
        <v>248</v>
      </c>
      <c r="P1562" s="132" t="s">
        <v>251</v>
      </c>
      <c r="Q1562" s="135" t="s">
        <v>359</v>
      </c>
      <c r="R1562" s="132" t="s">
        <v>147</v>
      </c>
      <c r="S1562" s="132" t="s">
        <v>147</v>
      </c>
      <c r="T1562" s="134">
        <v>42779</v>
      </c>
      <c r="U1562" s="172">
        <f t="shared" si="82"/>
        <v>2017</v>
      </c>
      <c r="V1562" s="172">
        <f t="shared" si="83"/>
        <v>2</v>
      </c>
      <c r="W1562" s="98" t="s">
        <v>688</v>
      </c>
      <c r="X1562" t="s">
        <v>892</v>
      </c>
      <c r="Y1562" s="41">
        <v>76</v>
      </c>
      <c r="Z1562" s="13">
        <v>6884</v>
      </c>
      <c r="AA1562" s="13">
        <f t="shared" si="81"/>
        <v>11048500</v>
      </c>
      <c r="AE1562" s="43"/>
      <c r="AL1562" s="87" t="s">
        <v>819</v>
      </c>
      <c r="AM1562" s="86">
        <v>514458</v>
      </c>
    </row>
    <row r="1563" spans="13:39" hidden="1">
      <c r="M1563" s="131">
        <v>8605</v>
      </c>
      <c r="N1563" s="224">
        <v>30718371</v>
      </c>
      <c r="O1563" s="132" t="s">
        <v>248</v>
      </c>
      <c r="P1563" s="132" t="s">
        <v>251</v>
      </c>
      <c r="Q1563" s="135" t="s">
        <v>254</v>
      </c>
      <c r="R1563" s="132" t="s">
        <v>147</v>
      </c>
      <c r="S1563" s="132" t="s">
        <v>147</v>
      </c>
      <c r="T1563" s="134">
        <v>42779</v>
      </c>
      <c r="U1563" s="172">
        <f t="shared" si="82"/>
        <v>2017</v>
      </c>
      <c r="V1563" s="172">
        <f t="shared" si="83"/>
        <v>2</v>
      </c>
      <c r="W1563" s="98" t="s">
        <v>688</v>
      </c>
      <c r="X1563" t="s">
        <v>892</v>
      </c>
      <c r="Y1563" s="41">
        <v>120</v>
      </c>
      <c r="Z1563" s="13">
        <f>N1563/3284</f>
        <v>9353.9497563946406</v>
      </c>
      <c r="AA1563" s="13">
        <f t="shared" si="81"/>
        <v>17445000</v>
      </c>
      <c r="AE1563" s="43"/>
      <c r="AL1563" s="87" t="s">
        <v>819</v>
      </c>
      <c r="AM1563" s="86">
        <v>514458</v>
      </c>
    </row>
    <row r="1564" spans="13:39" hidden="1">
      <c r="M1564" s="131">
        <v>8751</v>
      </c>
      <c r="N1564" s="224">
        <v>28359489</v>
      </c>
      <c r="O1564" s="132" t="s">
        <v>248</v>
      </c>
      <c r="P1564" s="132" t="s">
        <v>251</v>
      </c>
      <c r="Q1564" s="135" t="s">
        <v>258</v>
      </c>
      <c r="R1564" s="132" t="s">
        <v>147</v>
      </c>
      <c r="S1564" s="132" t="s">
        <v>147</v>
      </c>
      <c r="T1564" s="134">
        <v>42779</v>
      </c>
      <c r="U1564" s="172">
        <f t="shared" si="82"/>
        <v>2017</v>
      </c>
      <c r="V1564" s="172">
        <f t="shared" si="83"/>
        <v>2</v>
      </c>
      <c r="W1564" s="98" t="s">
        <v>688</v>
      </c>
      <c r="X1564" t="s">
        <v>892</v>
      </c>
      <c r="Y1564" s="41">
        <v>150</v>
      </c>
      <c r="Z1564" s="13">
        <f>N1564/3143</f>
        <v>9023.0636334712053</v>
      </c>
      <c r="AA1564" s="13">
        <f t="shared" si="81"/>
        <v>23448750</v>
      </c>
      <c r="AE1564" s="43"/>
      <c r="AL1564" s="87" t="s">
        <v>819</v>
      </c>
      <c r="AM1564" s="86">
        <v>514458</v>
      </c>
    </row>
    <row r="1565" spans="13:39" hidden="1">
      <c r="M1565" s="131">
        <v>8776</v>
      </c>
      <c r="N1565" s="224">
        <v>19689290</v>
      </c>
      <c r="O1565" s="132" t="s">
        <v>248</v>
      </c>
      <c r="P1565" s="132" t="s">
        <v>251</v>
      </c>
      <c r="Q1565" s="135" t="s">
        <v>360</v>
      </c>
      <c r="R1565" s="132" t="s">
        <v>147</v>
      </c>
      <c r="S1565" s="132" t="s">
        <v>147</v>
      </c>
      <c r="T1565" s="134">
        <v>42779</v>
      </c>
      <c r="U1565" s="172">
        <f t="shared" si="82"/>
        <v>2017</v>
      </c>
      <c r="V1565" s="172">
        <f t="shared" si="83"/>
        <v>2</v>
      </c>
      <c r="W1565" s="98" t="s">
        <v>688</v>
      </c>
      <c r="X1565" t="s">
        <v>892</v>
      </c>
      <c r="Y1565" s="41">
        <v>79</v>
      </c>
      <c r="Z1565" s="13">
        <v>5603</v>
      </c>
      <c r="AA1565" s="13">
        <f t="shared" si="81"/>
        <v>12497800</v>
      </c>
      <c r="AE1565" s="43"/>
      <c r="AL1565" s="87" t="s">
        <v>819</v>
      </c>
      <c r="AM1565" s="86">
        <v>514458</v>
      </c>
    </row>
    <row r="1566" spans="13:39" hidden="1">
      <c r="M1566" s="131">
        <v>8790</v>
      </c>
      <c r="N1566" s="224">
        <v>21868796</v>
      </c>
      <c r="O1566" s="132" t="s">
        <v>248</v>
      </c>
      <c r="P1566" s="132" t="s">
        <v>251</v>
      </c>
      <c r="Q1566" s="135" t="s">
        <v>262</v>
      </c>
      <c r="R1566" s="132" t="s">
        <v>147</v>
      </c>
      <c r="S1566" s="132" t="s">
        <v>147</v>
      </c>
      <c r="T1566" s="134">
        <v>42779</v>
      </c>
      <c r="U1566" s="172">
        <f t="shared" si="82"/>
        <v>2017</v>
      </c>
      <c r="V1566" s="172">
        <f t="shared" si="83"/>
        <v>2</v>
      </c>
      <c r="W1566" s="98" t="s">
        <v>688</v>
      </c>
      <c r="X1566" t="s">
        <v>892</v>
      </c>
      <c r="Y1566" s="41">
        <v>84</v>
      </c>
      <c r="Z1566" s="13">
        <v>6922</v>
      </c>
      <c r="AA1566" s="13">
        <f t="shared" si="81"/>
        <v>13377000</v>
      </c>
      <c r="AE1566" s="43"/>
      <c r="AL1566" s="87" t="s">
        <v>819</v>
      </c>
      <c r="AM1566" s="86">
        <v>514458</v>
      </c>
    </row>
    <row r="1567" spans="13:39" hidden="1">
      <c r="M1567" s="131">
        <v>8805</v>
      </c>
      <c r="N1567" s="224">
        <v>19724499</v>
      </c>
      <c r="O1567" s="132" t="s">
        <v>248</v>
      </c>
      <c r="P1567" s="132" t="s">
        <v>251</v>
      </c>
      <c r="Q1567" s="135" t="s">
        <v>358</v>
      </c>
      <c r="R1567" s="132" t="s">
        <v>147</v>
      </c>
      <c r="S1567" s="132" t="s">
        <v>147</v>
      </c>
      <c r="T1567" s="134">
        <v>42779</v>
      </c>
      <c r="U1567" s="172">
        <f t="shared" si="82"/>
        <v>2017</v>
      </c>
      <c r="V1567" s="172">
        <f t="shared" si="83"/>
        <v>2</v>
      </c>
      <c r="W1567" s="98" t="s">
        <v>688</v>
      </c>
      <c r="X1567" t="s">
        <v>892</v>
      </c>
      <c r="Y1567" s="41">
        <v>74</v>
      </c>
      <c r="Z1567" s="13">
        <v>6547</v>
      </c>
      <c r="AA1567" s="13">
        <f t="shared" si="81"/>
        <v>11867750</v>
      </c>
      <c r="AE1567" s="43"/>
      <c r="AL1567" s="87" t="s">
        <v>819</v>
      </c>
      <c r="AM1567" s="86">
        <v>514458</v>
      </c>
    </row>
    <row r="1568" spans="13:39" hidden="1">
      <c r="M1568" s="131">
        <v>8805</v>
      </c>
      <c r="N1568" s="224">
        <v>21811969</v>
      </c>
      <c r="O1568" s="132" t="s">
        <v>248</v>
      </c>
      <c r="P1568" s="132" t="s">
        <v>251</v>
      </c>
      <c r="Q1568" s="135" t="s">
        <v>362</v>
      </c>
      <c r="R1568" s="132" t="s">
        <v>147</v>
      </c>
      <c r="S1568" s="132" t="s">
        <v>147</v>
      </c>
      <c r="T1568" s="134">
        <v>42779</v>
      </c>
      <c r="U1568" s="172">
        <f t="shared" si="82"/>
        <v>2017</v>
      </c>
      <c r="V1568" s="172">
        <f t="shared" si="83"/>
        <v>2</v>
      </c>
      <c r="W1568" s="98" t="s">
        <v>688</v>
      </c>
      <c r="X1568" t="s">
        <v>892</v>
      </c>
      <c r="Y1568" s="41">
        <v>84</v>
      </c>
      <c r="Z1568" s="13">
        <v>6863</v>
      </c>
      <c r="AA1568" s="13">
        <f t="shared" si="81"/>
        <v>13471500</v>
      </c>
      <c r="AE1568" s="43"/>
      <c r="AL1568" s="87" t="s">
        <v>819</v>
      </c>
      <c r="AM1568" s="86">
        <v>514458</v>
      </c>
    </row>
    <row r="1569" spans="13:39" hidden="1">
      <c r="M1569" s="131">
        <v>8885</v>
      </c>
      <c r="N1569" s="224">
        <v>37968855</v>
      </c>
      <c r="O1569" s="132" t="s">
        <v>248</v>
      </c>
      <c r="P1569" s="132" t="s">
        <v>251</v>
      </c>
      <c r="Q1569" s="135" t="s">
        <v>364</v>
      </c>
      <c r="R1569" s="132" t="s">
        <v>147</v>
      </c>
      <c r="S1569" s="132" t="s">
        <v>147</v>
      </c>
      <c r="T1569" s="134">
        <v>42793</v>
      </c>
      <c r="U1569" s="172">
        <f t="shared" si="82"/>
        <v>2017</v>
      </c>
      <c r="V1569" s="172">
        <f t="shared" si="83"/>
        <v>2</v>
      </c>
      <c r="W1569" s="98" t="s">
        <v>687</v>
      </c>
      <c r="X1569" t="s">
        <v>892</v>
      </c>
      <c r="Y1569" s="41">
        <v>150</v>
      </c>
      <c r="Z1569" s="13">
        <f>N1569/3372</f>
        <v>11260.040035587188</v>
      </c>
      <c r="AA1569" s="13">
        <f t="shared" si="81"/>
        <v>24956250</v>
      </c>
      <c r="AE1569" s="43"/>
      <c r="AL1569" s="87" t="s">
        <v>819</v>
      </c>
      <c r="AM1569" s="86">
        <v>514458</v>
      </c>
    </row>
    <row r="1570" spans="13:39" hidden="1">
      <c r="M1570" s="131">
        <v>8905</v>
      </c>
      <c r="N1570" s="224">
        <v>17141237</v>
      </c>
      <c r="O1570" s="132" t="s">
        <v>248</v>
      </c>
      <c r="P1570" s="132" t="s">
        <v>251</v>
      </c>
      <c r="Q1570" s="135" t="s">
        <v>361</v>
      </c>
      <c r="R1570" s="132" t="s">
        <v>147</v>
      </c>
      <c r="S1570" s="132" t="s">
        <v>147</v>
      </c>
      <c r="T1570" s="134">
        <v>42779</v>
      </c>
      <c r="U1570" s="172">
        <f t="shared" si="82"/>
        <v>2017</v>
      </c>
      <c r="V1570" s="172">
        <f t="shared" si="83"/>
        <v>2</v>
      </c>
      <c r="W1570" s="98" t="s">
        <v>688</v>
      </c>
      <c r="X1570" t="s">
        <v>892</v>
      </c>
      <c r="Y1570" s="41">
        <v>62</v>
      </c>
      <c r="Z1570" s="13">
        <v>6147</v>
      </c>
      <c r="AA1570" s="13">
        <f t="shared" si="81"/>
        <v>10408250</v>
      </c>
      <c r="AE1570" s="43"/>
      <c r="AL1570" s="87" t="s">
        <v>819</v>
      </c>
      <c r="AM1570" s="86">
        <v>514458</v>
      </c>
    </row>
    <row r="1571" spans="13:39" hidden="1">
      <c r="M1571" s="131">
        <v>8915</v>
      </c>
      <c r="N1571" s="226">
        <v>10589469</v>
      </c>
      <c r="O1571" s="132" t="s">
        <v>248</v>
      </c>
      <c r="P1571" s="132" t="s">
        <v>251</v>
      </c>
      <c r="Q1571" s="135" t="s">
        <v>356</v>
      </c>
      <c r="R1571" s="132" t="s">
        <v>147</v>
      </c>
      <c r="S1571" s="132" t="s">
        <v>147</v>
      </c>
      <c r="T1571" s="134">
        <v>42779</v>
      </c>
      <c r="U1571" s="172">
        <f t="shared" si="82"/>
        <v>2017</v>
      </c>
      <c r="V1571" s="172">
        <f t="shared" si="83"/>
        <v>2</v>
      </c>
      <c r="W1571" s="98" t="s">
        <v>688</v>
      </c>
      <c r="X1571" t="s">
        <v>892</v>
      </c>
      <c r="Y1571" s="41">
        <v>40</v>
      </c>
      <c r="Z1571" s="13">
        <v>3478</v>
      </c>
      <c r="AA1571" s="13">
        <f t="shared" si="81"/>
        <v>6745000</v>
      </c>
      <c r="AE1571" s="43"/>
      <c r="AL1571" s="87" t="s">
        <v>819</v>
      </c>
      <c r="AM1571" s="86">
        <v>514458</v>
      </c>
    </row>
    <row r="1572" spans="13:39" hidden="1">
      <c r="M1572" s="131">
        <v>8955</v>
      </c>
      <c r="N1572" s="224">
        <v>21947772</v>
      </c>
      <c r="O1572" s="132" t="s">
        <v>248</v>
      </c>
      <c r="P1572" s="132" t="s">
        <v>251</v>
      </c>
      <c r="Q1572" s="135" t="s">
        <v>355</v>
      </c>
      <c r="R1572" s="132" t="s">
        <v>147</v>
      </c>
      <c r="S1572" s="132" t="s">
        <v>147</v>
      </c>
      <c r="T1572" s="134">
        <v>42779</v>
      </c>
      <c r="U1572" s="172">
        <f t="shared" si="82"/>
        <v>2017</v>
      </c>
      <c r="V1572" s="172">
        <f t="shared" si="83"/>
        <v>2</v>
      </c>
      <c r="W1572" s="98" t="s">
        <v>688</v>
      </c>
      <c r="X1572" t="s">
        <v>892</v>
      </c>
      <c r="Y1572" s="41">
        <v>84</v>
      </c>
      <c r="Z1572" s="13">
        <v>7004</v>
      </c>
      <c r="AA1572" s="13">
        <f t="shared" si="81"/>
        <v>14416500</v>
      </c>
      <c r="AE1572" s="43"/>
      <c r="AL1572" s="87" t="s">
        <v>819</v>
      </c>
      <c r="AM1572" s="86">
        <v>514458</v>
      </c>
    </row>
    <row r="1573" spans="13:39" hidden="1">
      <c r="M1573" s="131">
        <v>9005</v>
      </c>
      <c r="N1573" s="224">
        <v>20813906</v>
      </c>
      <c r="O1573" s="132" t="s">
        <v>248</v>
      </c>
      <c r="P1573" s="132" t="s">
        <v>251</v>
      </c>
      <c r="Q1573" s="135" t="s">
        <v>261</v>
      </c>
      <c r="R1573" s="132" t="s">
        <v>147</v>
      </c>
      <c r="S1573" s="132" t="s">
        <v>147</v>
      </c>
      <c r="T1573" s="134">
        <v>42779</v>
      </c>
      <c r="U1573" s="172">
        <f t="shared" si="82"/>
        <v>2017</v>
      </c>
      <c r="V1573" s="172">
        <f t="shared" si="83"/>
        <v>2</v>
      </c>
      <c r="W1573" s="98" t="s">
        <v>688</v>
      </c>
      <c r="X1573" t="s">
        <v>892</v>
      </c>
      <c r="Y1573" s="41">
        <v>80</v>
      </c>
      <c r="Z1573" s="13">
        <v>6577</v>
      </c>
      <c r="AA1573" s="13">
        <f t="shared" si="81"/>
        <v>14030000</v>
      </c>
      <c r="AE1573" s="43"/>
      <c r="AL1573" s="87" t="s">
        <v>819</v>
      </c>
      <c r="AM1573" s="86">
        <v>514458</v>
      </c>
    </row>
    <row r="1574" spans="13:39" hidden="1">
      <c r="M1574" s="131">
        <v>9165</v>
      </c>
      <c r="N1574" s="226">
        <v>8921261</v>
      </c>
      <c r="O1574" s="132" t="s">
        <v>248</v>
      </c>
      <c r="P1574" s="132" t="s">
        <v>251</v>
      </c>
      <c r="Q1574" s="135" t="s">
        <v>259</v>
      </c>
      <c r="R1574" s="132" t="s">
        <v>147</v>
      </c>
      <c r="S1574" s="132" t="s">
        <v>147</v>
      </c>
      <c r="T1574" s="134">
        <v>42779</v>
      </c>
      <c r="U1574" s="172">
        <f t="shared" si="82"/>
        <v>2017</v>
      </c>
      <c r="V1574" s="172">
        <f t="shared" si="83"/>
        <v>2</v>
      </c>
      <c r="W1574" s="98" t="s">
        <v>688</v>
      </c>
      <c r="X1574" t="s">
        <v>892</v>
      </c>
      <c r="Y1574" s="41">
        <v>34</v>
      </c>
      <c r="Z1574" s="13">
        <f>N1574/3099</f>
        <v>2878.7547595998708</v>
      </c>
      <c r="AA1574" s="13">
        <f t="shared" si="81"/>
        <v>6370750</v>
      </c>
      <c r="AE1574" s="43"/>
      <c r="AL1574" s="87" t="s">
        <v>819</v>
      </c>
      <c r="AM1574" s="86">
        <v>514458</v>
      </c>
    </row>
    <row r="1575" spans="13:39" hidden="1">
      <c r="M1575" s="131">
        <v>980980</v>
      </c>
      <c r="N1575" s="223">
        <v>914441</v>
      </c>
      <c r="O1575" s="132" t="s">
        <v>244</v>
      </c>
      <c r="P1575" s="132" t="s">
        <v>245</v>
      </c>
      <c r="Q1575" s="133">
        <v>127</v>
      </c>
      <c r="R1575" s="132" t="s">
        <v>147</v>
      </c>
      <c r="S1575" s="132" t="s">
        <v>147</v>
      </c>
      <c r="T1575" s="134">
        <v>42064</v>
      </c>
      <c r="U1575" s="172">
        <f t="shared" si="82"/>
        <v>2015</v>
      </c>
      <c r="V1575" s="172">
        <f t="shared" si="83"/>
        <v>3</v>
      </c>
      <c r="W1575" s="44" t="s">
        <v>689</v>
      </c>
      <c r="X1575" t="s">
        <v>894</v>
      </c>
      <c r="Y1575">
        <v>2</v>
      </c>
      <c r="Z1575">
        <v>510</v>
      </c>
      <c r="AA1575" s="13">
        <f t="shared" si="81"/>
        <v>980980</v>
      </c>
      <c r="AE1575" s="43"/>
      <c r="AL1575" s="87" t="s">
        <v>819</v>
      </c>
      <c r="AM1575" s="86">
        <v>514458</v>
      </c>
    </row>
    <row r="1576" spans="13:39" hidden="1">
      <c r="M1576" s="131">
        <v>1029580</v>
      </c>
      <c r="N1576" s="223">
        <v>995108</v>
      </c>
      <c r="O1576" s="132" t="s">
        <v>244</v>
      </c>
      <c r="P1576" s="132" t="s">
        <v>245</v>
      </c>
      <c r="Q1576" s="133">
        <v>1149</v>
      </c>
      <c r="R1576" s="132" t="s">
        <v>147</v>
      </c>
      <c r="S1576" s="132" t="s">
        <v>147</v>
      </c>
      <c r="T1576" s="134">
        <v>42064</v>
      </c>
      <c r="U1576" s="172">
        <f t="shared" si="82"/>
        <v>2015</v>
      </c>
      <c r="V1576" s="172">
        <f t="shared" si="83"/>
        <v>3</v>
      </c>
      <c r="W1576" s="44" t="s">
        <v>689</v>
      </c>
      <c r="X1576" t="s">
        <v>894</v>
      </c>
      <c r="Y1576">
        <v>2</v>
      </c>
      <c r="Z1576">
        <v>575</v>
      </c>
      <c r="AA1576" s="13">
        <f t="shared" si="81"/>
        <v>1029580</v>
      </c>
      <c r="AE1576" s="43"/>
      <c r="AL1576" s="87" t="s">
        <v>819</v>
      </c>
      <c r="AM1576" s="86">
        <v>514458</v>
      </c>
    </row>
    <row r="1577" spans="13:39" hidden="1">
      <c r="M1577" s="131">
        <v>1110999</v>
      </c>
      <c r="N1577" s="223">
        <v>940503</v>
      </c>
      <c r="O1577" s="132" t="s">
        <v>244</v>
      </c>
      <c r="P1577" s="132" t="s">
        <v>245</v>
      </c>
      <c r="Q1577" s="133">
        <v>1128</v>
      </c>
      <c r="R1577" s="132" t="s">
        <v>147</v>
      </c>
      <c r="S1577" s="132" t="s">
        <v>147</v>
      </c>
      <c r="T1577" s="134">
        <v>42064</v>
      </c>
      <c r="U1577" s="172">
        <f t="shared" si="82"/>
        <v>2015</v>
      </c>
      <c r="V1577" s="172">
        <f t="shared" si="83"/>
        <v>3</v>
      </c>
      <c r="W1577" s="44" t="s">
        <v>689</v>
      </c>
      <c r="X1577" t="s">
        <v>894</v>
      </c>
      <c r="Y1577">
        <v>2</v>
      </c>
      <c r="Z1577">
        <v>531</v>
      </c>
      <c r="AA1577" s="13">
        <f t="shared" si="81"/>
        <v>1110999</v>
      </c>
      <c r="AE1577" s="43"/>
      <c r="AL1577" s="87" t="s">
        <v>819</v>
      </c>
      <c r="AM1577" s="86">
        <v>514458</v>
      </c>
    </row>
    <row r="1578" spans="13:39" hidden="1">
      <c r="M1578" s="131">
        <v>1162000</v>
      </c>
      <c r="N1578" s="223">
        <v>944226</v>
      </c>
      <c r="O1578" s="132" t="s">
        <v>244</v>
      </c>
      <c r="P1578" s="132" t="s">
        <v>245</v>
      </c>
      <c r="Q1578" s="133">
        <v>1148</v>
      </c>
      <c r="R1578" s="132" t="s">
        <v>147</v>
      </c>
      <c r="S1578" s="132" t="s">
        <v>147</v>
      </c>
      <c r="T1578" s="134">
        <v>42064</v>
      </c>
      <c r="U1578" s="172">
        <f t="shared" si="82"/>
        <v>2015</v>
      </c>
      <c r="V1578" s="172">
        <f t="shared" si="83"/>
        <v>3</v>
      </c>
      <c r="W1578" s="44" t="s">
        <v>689</v>
      </c>
      <c r="X1578" t="s">
        <v>894</v>
      </c>
      <c r="Y1578">
        <v>2</v>
      </c>
      <c r="Z1578">
        <v>534</v>
      </c>
      <c r="AA1578" s="13">
        <f t="shared" si="81"/>
        <v>1162000</v>
      </c>
      <c r="AE1578" s="43"/>
      <c r="AL1578" s="87" t="s">
        <v>819</v>
      </c>
      <c r="AM1578" s="86">
        <v>514458</v>
      </c>
    </row>
    <row r="1579" spans="13:39" hidden="1">
      <c r="M1579" s="131">
        <v>6940000</v>
      </c>
      <c r="N1579" s="226">
        <v>9162703</v>
      </c>
      <c r="O1579" s="132" t="s">
        <v>248</v>
      </c>
      <c r="P1579" s="132" t="s">
        <v>245</v>
      </c>
      <c r="Q1579" s="133">
        <v>253</v>
      </c>
      <c r="R1579" s="132" t="s">
        <v>685</v>
      </c>
      <c r="S1579" s="132" t="s">
        <v>147</v>
      </c>
      <c r="T1579" s="134">
        <v>42801</v>
      </c>
      <c r="U1579" s="172">
        <f t="shared" si="82"/>
        <v>2017</v>
      </c>
      <c r="V1579" s="172">
        <f t="shared" si="83"/>
        <v>3</v>
      </c>
      <c r="W1579" s="98" t="s">
        <v>686</v>
      </c>
      <c r="X1579" t="s">
        <v>892</v>
      </c>
      <c r="Y1579" s="41">
        <v>26</v>
      </c>
      <c r="Z1579" s="13">
        <f>N1579/2809</f>
        <v>3261.9092203631185</v>
      </c>
      <c r="AA1579" s="13">
        <f t="shared" si="81"/>
        <v>6940000</v>
      </c>
      <c r="AE1579" s="43"/>
      <c r="AL1579" s="87" t="s">
        <v>819</v>
      </c>
      <c r="AM1579" s="86">
        <v>514458</v>
      </c>
    </row>
    <row r="1580" spans="13:39" hidden="1">
      <c r="M1580" s="131">
        <v>7840000</v>
      </c>
      <c r="N1580" s="226">
        <v>7644866</v>
      </c>
      <c r="O1580" s="132" t="s">
        <v>248</v>
      </c>
      <c r="P1580" s="132" t="s">
        <v>245</v>
      </c>
      <c r="Q1580" s="133">
        <v>204</v>
      </c>
      <c r="R1580" s="132" t="s">
        <v>685</v>
      </c>
      <c r="S1580" s="132" t="s">
        <v>147</v>
      </c>
      <c r="T1580" s="134">
        <v>42801</v>
      </c>
      <c r="U1580" s="172">
        <f t="shared" si="82"/>
        <v>2017</v>
      </c>
      <c r="V1580" s="172">
        <f t="shared" si="83"/>
        <v>3</v>
      </c>
      <c r="W1580" s="98" t="s">
        <v>686</v>
      </c>
      <c r="X1580" t="s">
        <v>892</v>
      </c>
      <c r="Y1580" s="41">
        <v>26</v>
      </c>
      <c r="Z1580" s="13">
        <f>N1580/3136</f>
        <v>2437.7761479591836</v>
      </c>
      <c r="AA1580" s="13">
        <f t="shared" si="81"/>
        <v>7840000</v>
      </c>
      <c r="AE1580" s="43"/>
      <c r="AL1580" s="87" t="s">
        <v>819</v>
      </c>
      <c r="AM1580" s="86">
        <v>514458</v>
      </c>
    </row>
    <row r="1581" spans="13:39" hidden="1">
      <c r="M1581" s="131">
        <v>10884900</v>
      </c>
      <c r="N1581" s="223">
        <v>12475619</v>
      </c>
      <c r="O1581" s="132" t="s">
        <v>248</v>
      </c>
      <c r="P1581" s="132" t="s">
        <v>245</v>
      </c>
      <c r="Q1581" s="133">
        <v>34168</v>
      </c>
      <c r="R1581" s="132" t="s">
        <v>690</v>
      </c>
      <c r="S1581" s="132" t="s">
        <v>147</v>
      </c>
      <c r="T1581" s="134">
        <v>41784</v>
      </c>
      <c r="U1581" s="172">
        <f t="shared" si="82"/>
        <v>2014</v>
      </c>
      <c r="V1581" s="172">
        <f t="shared" si="83"/>
        <v>5</v>
      </c>
      <c r="W1581" s="44" t="s">
        <v>691</v>
      </c>
      <c r="X1581" t="s">
        <v>894</v>
      </c>
      <c r="Y1581">
        <v>64</v>
      </c>
      <c r="Z1581">
        <v>5617</v>
      </c>
      <c r="AA1581" s="13">
        <f t="shared" si="81"/>
        <v>10884900</v>
      </c>
      <c r="AE1581" s="43"/>
      <c r="AL1581" s="87" t="s">
        <v>819</v>
      </c>
      <c r="AM1581" s="86">
        <v>514458</v>
      </c>
    </row>
    <row r="1582" spans="13:39" hidden="1">
      <c r="M1582" s="131">
        <v>27026260</v>
      </c>
      <c r="N1582" s="223">
        <v>27283244</v>
      </c>
      <c r="O1582" s="132" t="s">
        <v>248</v>
      </c>
      <c r="P1582" s="132" t="s">
        <v>245</v>
      </c>
      <c r="Q1582" s="133">
        <v>18863</v>
      </c>
      <c r="R1582" s="132" t="s">
        <v>690</v>
      </c>
      <c r="S1582" s="132" t="s">
        <v>147</v>
      </c>
      <c r="T1582" s="134">
        <v>41784</v>
      </c>
      <c r="U1582" s="172">
        <f t="shared" si="82"/>
        <v>2014</v>
      </c>
      <c r="V1582" s="172">
        <f t="shared" si="83"/>
        <v>5</v>
      </c>
      <c r="W1582" s="44" t="s">
        <v>691</v>
      </c>
      <c r="X1582" t="s">
        <v>894</v>
      </c>
      <c r="Y1582">
        <v>160</v>
      </c>
      <c r="Z1582">
        <v>10079</v>
      </c>
      <c r="AA1582" s="13">
        <f t="shared" si="81"/>
        <v>27026260</v>
      </c>
      <c r="AE1582" s="43"/>
      <c r="AL1582" s="87" t="s">
        <v>819</v>
      </c>
      <c r="AM1582" s="86">
        <v>514458</v>
      </c>
    </row>
    <row r="1583" spans="13:39" hidden="1">
      <c r="M1583" s="152" t="s">
        <v>917</v>
      </c>
      <c r="N1583" s="225">
        <v>4183728</v>
      </c>
      <c r="O1583" s="152" t="s">
        <v>248</v>
      </c>
      <c r="P1583" s="152" t="s">
        <v>245</v>
      </c>
      <c r="Q1583" s="133">
        <v>601</v>
      </c>
      <c r="R1583" s="152" t="s">
        <v>954</v>
      </c>
      <c r="S1583" s="161" t="s">
        <v>954</v>
      </c>
      <c r="T1583" s="165">
        <v>42848</v>
      </c>
      <c r="U1583" s="172">
        <f t="shared" si="82"/>
        <v>2017</v>
      </c>
      <c r="V1583" s="172">
        <f t="shared" si="83"/>
        <v>4</v>
      </c>
      <c r="W1583" s="157" t="s">
        <v>956</v>
      </c>
      <c r="X1583" t="e">
        <f t="shared" ref="X1583:X1599" si="84">MATCH($W1583,$E$30:$E$125,0)</f>
        <v>#N/A</v>
      </c>
      <c r="AA1583" s="13" t="str">
        <f t="shared" si="81"/>
        <v>אין הצעות למתחם זה</v>
      </c>
      <c r="AE1583" s="43"/>
      <c r="AL1583" s="87" t="s">
        <v>819</v>
      </c>
      <c r="AM1583" s="86">
        <v>514458</v>
      </c>
    </row>
    <row r="1584" spans="13:39" hidden="1">
      <c r="M1584" s="152" t="s">
        <v>917</v>
      </c>
      <c r="N1584" s="225">
        <v>2082154</v>
      </c>
      <c r="O1584" s="152" t="s">
        <v>248</v>
      </c>
      <c r="P1584" s="152" t="s">
        <v>251</v>
      </c>
      <c r="Q1584" s="133">
        <v>44048</v>
      </c>
      <c r="R1584" s="152" t="s">
        <v>971</v>
      </c>
      <c r="S1584" s="161" t="s">
        <v>971</v>
      </c>
      <c r="T1584" s="156">
        <v>42798</v>
      </c>
      <c r="U1584" s="172">
        <f t="shared" si="82"/>
        <v>2017</v>
      </c>
      <c r="V1584" s="172">
        <f t="shared" si="83"/>
        <v>3</v>
      </c>
      <c r="W1584" s="157" t="s">
        <v>972</v>
      </c>
      <c r="X1584" t="e">
        <f t="shared" si="84"/>
        <v>#N/A</v>
      </c>
      <c r="AA1584" s="13" t="str">
        <f t="shared" si="81"/>
        <v>אין הצעות למתחם זה</v>
      </c>
      <c r="AE1584" s="43"/>
      <c r="AL1584" s="87" t="s">
        <v>819</v>
      </c>
      <c r="AM1584" s="86">
        <v>514458</v>
      </c>
    </row>
    <row r="1585" spans="13:39" hidden="1">
      <c r="M1585" s="152" t="s">
        <v>917</v>
      </c>
      <c r="N1585" s="225">
        <v>1724251</v>
      </c>
      <c r="O1585" s="152" t="s">
        <v>248</v>
      </c>
      <c r="P1585" s="152" t="s">
        <v>251</v>
      </c>
      <c r="Q1585" s="133">
        <v>44049</v>
      </c>
      <c r="R1585" s="152" t="s">
        <v>971</v>
      </c>
      <c r="S1585" s="161" t="s">
        <v>971</v>
      </c>
      <c r="T1585" s="156">
        <v>42798</v>
      </c>
      <c r="U1585" s="172">
        <f t="shared" si="82"/>
        <v>2017</v>
      </c>
      <c r="V1585" s="172">
        <f t="shared" si="83"/>
        <v>3</v>
      </c>
      <c r="W1585" s="157" t="s">
        <v>972</v>
      </c>
      <c r="X1585" t="e">
        <f t="shared" si="84"/>
        <v>#N/A</v>
      </c>
      <c r="AA1585" s="13" t="str">
        <f t="shared" si="81"/>
        <v>אין הצעות למתחם זה</v>
      </c>
      <c r="AE1585" s="43"/>
      <c r="AL1585" s="87" t="s">
        <v>819</v>
      </c>
      <c r="AM1585" s="86">
        <v>514458</v>
      </c>
    </row>
    <row r="1586" spans="13:39" hidden="1">
      <c r="M1586" s="154">
        <v>4900</v>
      </c>
      <c r="N1586" s="225">
        <v>1352751</v>
      </c>
      <c r="O1586" s="152" t="s">
        <v>248</v>
      </c>
      <c r="P1586" s="152" t="s">
        <v>251</v>
      </c>
      <c r="Q1586" s="133">
        <v>44050</v>
      </c>
      <c r="R1586" s="152" t="s">
        <v>971</v>
      </c>
      <c r="S1586" s="161" t="s">
        <v>971</v>
      </c>
      <c r="T1586" s="156">
        <v>42798</v>
      </c>
      <c r="U1586" s="172">
        <f t="shared" si="82"/>
        <v>2017</v>
      </c>
      <c r="V1586" s="172">
        <f t="shared" si="83"/>
        <v>3</v>
      </c>
      <c r="W1586" s="157" t="s">
        <v>972</v>
      </c>
      <c r="X1586" t="e">
        <f t="shared" si="84"/>
        <v>#N/A</v>
      </c>
      <c r="AA1586" s="13">
        <f t="shared" si="81"/>
        <v>0</v>
      </c>
      <c r="AE1586" s="43"/>
      <c r="AL1586" s="87" t="s">
        <v>819</v>
      </c>
      <c r="AM1586" s="86">
        <v>514458</v>
      </c>
    </row>
    <row r="1587" spans="13:39" hidden="1">
      <c r="M1587" s="152" t="s">
        <v>917</v>
      </c>
      <c r="N1587" s="225">
        <v>1991185</v>
      </c>
      <c r="O1587" s="152" t="s">
        <v>248</v>
      </c>
      <c r="P1587" s="152" t="s">
        <v>251</v>
      </c>
      <c r="Q1587" s="133">
        <v>44051</v>
      </c>
      <c r="R1587" s="152" t="s">
        <v>971</v>
      </c>
      <c r="S1587" s="161" t="s">
        <v>971</v>
      </c>
      <c r="T1587" s="156">
        <v>42798</v>
      </c>
      <c r="U1587" s="172">
        <f t="shared" si="82"/>
        <v>2017</v>
      </c>
      <c r="V1587" s="172">
        <f t="shared" si="83"/>
        <v>3</v>
      </c>
      <c r="W1587" s="157" t="s">
        <v>972</v>
      </c>
      <c r="X1587" t="e">
        <f t="shared" si="84"/>
        <v>#N/A</v>
      </c>
      <c r="AA1587" s="13" t="str">
        <f t="shared" si="81"/>
        <v>אין הצעות למתחם זה</v>
      </c>
      <c r="AE1587" s="43"/>
      <c r="AL1587" s="87" t="s">
        <v>819</v>
      </c>
      <c r="AM1587" s="86">
        <v>514458</v>
      </c>
    </row>
    <row r="1588" spans="13:39" hidden="1">
      <c r="M1588" s="152" t="s">
        <v>917</v>
      </c>
      <c r="N1588" s="225">
        <v>1357292</v>
      </c>
      <c r="O1588" s="152" t="s">
        <v>248</v>
      </c>
      <c r="P1588" s="152" t="s">
        <v>251</v>
      </c>
      <c r="Q1588" s="133">
        <v>44052</v>
      </c>
      <c r="R1588" s="152" t="s">
        <v>971</v>
      </c>
      <c r="S1588" s="161" t="s">
        <v>971</v>
      </c>
      <c r="T1588" s="156">
        <v>42798</v>
      </c>
      <c r="U1588" s="172">
        <f t="shared" si="82"/>
        <v>2017</v>
      </c>
      <c r="V1588" s="172">
        <f t="shared" si="83"/>
        <v>3</v>
      </c>
      <c r="W1588" s="157" t="s">
        <v>972</v>
      </c>
      <c r="X1588" t="e">
        <f t="shared" si="84"/>
        <v>#N/A</v>
      </c>
      <c r="AA1588" s="13" t="str">
        <f t="shared" si="81"/>
        <v>אין הצעות למתחם זה</v>
      </c>
      <c r="AE1588" s="43"/>
      <c r="AL1588" s="87" t="s">
        <v>819</v>
      </c>
      <c r="AM1588" s="86">
        <v>514458</v>
      </c>
    </row>
    <row r="1589" spans="13:39" hidden="1">
      <c r="M1589" s="152" t="s">
        <v>973</v>
      </c>
      <c r="N1589" s="225">
        <v>1365109</v>
      </c>
      <c r="O1589" s="152" t="s">
        <v>248</v>
      </c>
      <c r="P1589" s="152" t="s">
        <v>251</v>
      </c>
      <c r="Q1589" s="133">
        <v>44053</v>
      </c>
      <c r="R1589" s="152" t="s">
        <v>971</v>
      </c>
      <c r="S1589" s="161" t="s">
        <v>971</v>
      </c>
      <c r="T1589" s="156">
        <v>42798</v>
      </c>
      <c r="U1589" s="172">
        <f t="shared" si="82"/>
        <v>2017</v>
      </c>
      <c r="V1589" s="172">
        <f t="shared" si="83"/>
        <v>3</v>
      </c>
      <c r="W1589" s="157" t="s">
        <v>972</v>
      </c>
      <c r="X1589" t="e">
        <f t="shared" si="84"/>
        <v>#N/A</v>
      </c>
      <c r="AA1589" s="13" t="str">
        <f t="shared" si="81"/>
        <v>הצעות לא בטווח</v>
      </c>
      <c r="AE1589" s="43"/>
      <c r="AL1589" s="87" t="s">
        <v>819</v>
      </c>
      <c r="AM1589" s="86">
        <v>514458</v>
      </c>
    </row>
    <row r="1590" spans="13:39" hidden="1">
      <c r="M1590" s="154">
        <v>9355</v>
      </c>
      <c r="N1590" s="225">
        <v>29148641</v>
      </c>
      <c r="O1590" s="152" t="s">
        <v>248</v>
      </c>
      <c r="P1590" s="152" t="s">
        <v>251</v>
      </c>
      <c r="Q1590" s="133">
        <v>1</v>
      </c>
      <c r="R1590" s="152" t="s">
        <v>933</v>
      </c>
      <c r="S1590" s="161" t="s">
        <v>933</v>
      </c>
      <c r="T1590" s="156">
        <v>42952</v>
      </c>
      <c r="U1590" s="172">
        <f t="shared" si="82"/>
        <v>2017</v>
      </c>
      <c r="V1590" s="172">
        <f t="shared" si="83"/>
        <v>8</v>
      </c>
      <c r="W1590" s="157" t="s">
        <v>934</v>
      </c>
      <c r="X1590" t="e">
        <f t="shared" si="84"/>
        <v>#N/A</v>
      </c>
      <c r="AA1590" s="13">
        <f t="shared" si="81"/>
        <v>0</v>
      </c>
      <c r="AE1590" s="43"/>
      <c r="AL1590" s="87" t="s">
        <v>819</v>
      </c>
      <c r="AM1590" s="86">
        <v>514458</v>
      </c>
    </row>
    <row r="1591" spans="13:39" hidden="1">
      <c r="M1591" s="154">
        <v>10188</v>
      </c>
      <c r="N1591" s="225">
        <v>30918445</v>
      </c>
      <c r="O1591" s="152" t="s">
        <v>248</v>
      </c>
      <c r="P1591" s="152" t="s">
        <v>251</v>
      </c>
      <c r="Q1591" s="133">
        <v>2</v>
      </c>
      <c r="R1591" s="152" t="s">
        <v>933</v>
      </c>
      <c r="S1591" s="161" t="s">
        <v>933</v>
      </c>
      <c r="T1591" s="156">
        <v>42952</v>
      </c>
      <c r="U1591" s="172">
        <f t="shared" si="82"/>
        <v>2017</v>
      </c>
      <c r="V1591" s="172">
        <f t="shared" si="83"/>
        <v>8</v>
      </c>
      <c r="W1591" s="157" t="s">
        <v>934</v>
      </c>
      <c r="X1591" t="e">
        <f t="shared" si="84"/>
        <v>#N/A</v>
      </c>
      <c r="AA1591" s="13">
        <f t="shared" si="81"/>
        <v>0</v>
      </c>
      <c r="AE1591" s="43"/>
      <c r="AL1591" s="87" t="s">
        <v>819</v>
      </c>
      <c r="AM1591" s="86">
        <v>514458</v>
      </c>
    </row>
    <row r="1592" spans="13:39" hidden="1">
      <c r="M1592" s="154">
        <v>9228</v>
      </c>
      <c r="N1592" s="225">
        <v>17231593</v>
      </c>
      <c r="O1592" s="152" t="s">
        <v>248</v>
      </c>
      <c r="P1592" s="152" t="s">
        <v>251</v>
      </c>
      <c r="Q1592" s="133">
        <v>3</v>
      </c>
      <c r="R1592" s="152" t="s">
        <v>933</v>
      </c>
      <c r="S1592" s="161" t="s">
        <v>933</v>
      </c>
      <c r="T1592" s="156">
        <v>42952</v>
      </c>
      <c r="U1592" s="172">
        <f t="shared" si="82"/>
        <v>2017</v>
      </c>
      <c r="V1592" s="172">
        <f t="shared" si="83"/>
        <v>8</v>
      </c>
      <c r="W1592" s="157" t="s">
        <v>934</v>
      </c>
      <c r="X1592" t="e">
        <f t="shared" si="84"/>
        <v>#N/A</v>
      </c>
      <c r="AA1592" s="13">
        <f t="shared" si="81"/>
        <v>0</v>
      </c>
      <c r="AE1592" s="43"/>
      <c r="AL1592" s="87" t="s">
        <v>819</v>
      </c>
      <c r="AM1592" s="86">
        <v>514458</v>
      </c>
    </row>
    <row r="1593" spans="13:39" hidden="1">
      <c r="M1593" s="152" t="s">
        <v>917</v>
      </c>
      <c r="N1593" s="225">
        <v>25402229</v>
      </c>
      <c r="O1593" s="152" t="s">
        <v>248</v>
      </c>
      <c r="P1593" s="152" t="s">
        <v>251</v>
      </c>
      <c r="Q1593" s="133">
        <v>4</v>
      </c>
      <c r="R1593" s="152" t="s">
        <v>933</v>
      </c>
      <c r="S1593" s="161" t="s">
        <v>933</v>
      </c>
      <c r="T1593" s="156">
        <v>42952</v>
      </c>
      <c r="U1593" s="172">
        <f t="shared" si="82"/>
        <v>2017</v>
      </c>
      <c r="V1593" s="172">
        <f t="shared" si="83"/>
        <v>8</v>
      </c>
      <c r="W1593" s="157" t="s">
        <v>934</v>
      </c>
      <c r="X1593" t="e">
        <f t="shared" si="84"/>
        <v>#N/A</v>
      </c>
      <c r="AA1593" s="13" t="str">
        <f t="shared" si="81"/>
        <v>אין הצעות למתחם זה</v>
      </c>
      <c r="AE1593" s="43"/>
      <c r="AL1593" s="87" t="s">
        <v>819</v>
      </c>
      <c r="AM1593" s="86">
        <v>514458</v>
      </c>
    </row>
    <row r="1594" spans="13:39" hidden="1">
      <c r="M1594" s="154">
        <v>10724</v>
      </c>
      <c r="N1594" s="225">
        <v>25594356</v>
      </c>
      <c r="O1594" s="152" t="s">
        <v>248</v>
      </c>
      <c r="P1594" s="152" t="s">
        <v>251</v>
      </c>
      <c r="Q1594" s="133">
        <v>5</v>
      </c>
      <c r="R1594" s="152" t="s">
        <v>933</v>
      </c>
      <c r="S1594" s="161" t="s">
        <v>933</v>
      </c>
      <c r="T1594" s="156">
        <v>42952</v>
      </c>
      <c r="U1594" s="172">
        <f t="shared" si="82"/>
        <v>2017</v>
      </c>
      <c r="V1594" s="172">
        <f t="shared" si="83"/>
        <v>8</v>
      </c>
      <c r="W1594" s="157" t="s">
        <v>934</v>
      </c>
      <c r="X1594" t="e">
        <f t="shared" si="84"/>
        <v>#N/A</v>
      </c>
      <c r="AA1594" s="13">
        <f t="shared" si="81"/>
        <v>0</v>
      </c>
      <c r="AE1594" s="43"/>
      <c r="AL1594" s="87" t="s">
        <v>819</v>
      </c>
      <c r="AM1594" s="86">
        <v>514458</v>
      </c>
    </row>
    <row r="1595" spans="13:39" hidden="1">
      <c r="M1595" s="154">
        <v>35000</v>
      </c>
      <c r="N1595" s="225">
        <v>1131261</v>
      </c>
      <c r="O1595" s="152" t="s">
        <v>248</v>
      </c>
      <c r="P1595" s="152" t="s">
        <v>245</v>
      </c>
      <c r="Q1595" s="133">
        <v>42134</v>
      </c>
      <c r="R1595" s="152" t="s">
        <v>959</v>
      </c>
      <c r="S1595" s="161" t="s">
        <v>959</v>
      </c>
      <c r="T1595" s="165">
        <v>42848</v>
      </c>
      <c r="U1595" s="172">
        <f t="shared" si="82"/>
        <v>2017</v>
      </c>
      <c r="V1595" s="172">
        <f t="shared" si="83"/>
        <v>4</v>
      </c>
      <c r="W1595" s="157" t="s">
        <v>960</v>
      </c>
      <c r="X1595" t="e">
        <f t="shared" si="84"/>
        <v>#N/A</v>
      </c>
      <c r="AA1595" s="13">
        <f t="shared" si="81"/>
        <v>35000</v>
      </c>
      <c r="AE1595" s="43"/>
      <c r="AL1595" s="87" t="s">
        <v>819</v>
      </c>
      <c r="AM1595" s="86">
        <v>514458</v>
      </c>
    </row>
    <row r="1596" spans="13:39" hidden="1">
      <c r="M1596" s="154">
        <v>66666</v>
      </c>
      <c r="N1596" s="225">
        <v>2733143</v>
      </c>
      <c r="O1596" s="152" t="s">
        <v>248</v>
      </c>
      <c r="P1596" s="152" t="s">
        <v>245</v>
      </c>
      <c r="Q1596" s="133">
        <v>45111</v>
      </c>
      <c r="R1596" s="152" t="s">
        <v>959</v>
      </c>
      <c r="S1596" s="161" t="s">
        <v>959</v>
      </c>
      <c r="T1596" s="165">
        <v>42848</v>
      </c>
      <c r="U1596" s="172">
        <f t="shared" si="82"/>
        <v>2017</v>
      </c>
      <c r="V1596" s="172">
        <f t="shared" si="83"/>
        <v>4</v>
      </c>
      <c r="W1596" s="157" t="s">
        <v>960</v>
      </c>
      <c r="X1596" t="e">
        <f t="shared" si="84"/>
        <v>#N/A</v>
      </c>
      <c r="AA1596" s="13">
        <f t="shared" si="81"/>
        <v>66666</v>
      </c>
      <c r="AE1596" s="43"/>
      <c r="AL1596" s="87" t="s">
        <v>819</v>
      </c>
      <c r="AM1596" s="86">
        <v>514458</v>
      </c>
    </row>
    <row r="1597" spans="13:39" hidden="1">
      <c r="M1597" s="154">
        <v>30000</v>
      </c>
      <c r="N1597" s="225">
        <v>1261010</v>
      </c>
      <c r="O1597" s="152" t="s">
        <v>248</v>
      </c>
      <c r="P1597" s="152" t="s">
        <v>245</v>
      </c>
      <c r="Q1597" s="133">
        <v>45121</v>
      </c>
      <c r="R1597" s="152" t="s">
        <v>959</v>
      </c>
      <c r="S1597" s="161" t="s">
        <v>959</v>
      </c>
      <c r="T1597" s="165">
        <v>42848</v>
      </c>
      <c r="U1597" s="172">
        <f t="shared" si="82"/>
        <v>2017</v>
      </c>
      <c r="V1597" s="172">
        <f t="shared" si="83"/>
        <v>4</v>
      </c>
      <c r="W1597" s="157" t="s">
        <v>960</v>
      </c>
      <c r="X1597" t="e">
        <f t="shared" si="84"/>
        <v>#N/A</v>
      </c>
      <c r="AA1597" s="13">
        <f t="shared" si="81"/>
        <v>30000</v>
      </c>
      <c r="AE1597" s="43"/>
      <c r="AL1597" s="87" t="s">
        <v>819</v>
      </c>
      <c r="AM1597" s="86">
        <v>514458</v>
      </c>
    </row>
    <row r="1598" spans="13:39" hidden="1">
      <c r="M1598" s="154">
        <v>75555</v>
      </c>
      <c r="N1598" s="225">
        <v>3249260</v>
      </c>
      <c r="O1598" s="152" t="s">
        <v>248</v>
      </c>
      <c r="P1598" s="152" t="s">
        <v>245</v>
      </c>
      <c r="Q1598" s="133">
        <v>45138</v>
      </c>
      <c r="R1598" s="152" t="s">
        <v>959</v>
      </c>
      <c r="S1598" s="161" t="s">
        <v>959</v>
      </c>
      <c r="T1598" s="165">
        <v>42848</v>
      </c>
      <c r="U1598" s="172">
        <f t="shared" si="82"/>
        <v>2017</v>
      </c>
      <c r="V1598" s="172">
        <f t="shared" si="83"/>
        <v>4</v>
      </c>
      <c r="W1598" s="157" t="s">
        <v>960</v>
      </c>
      <c r="X1598" t="e">
        <f t="shared" si="84"/>
        <v>#N/A</v>
      </c>
      <c r="AA1598" s="13">
        <f t="shared" si="81"/>
        <v>75555</v>
      </c>
      <c r="AE1598" s="43"/>
      <c r="AL1598" s="87" t="s">
        <v>819</v>
      </c>
      <c r="AM1598" s="86">
        <v>514458</v>
      </c>
    </row>
    <row r="1599" spans="13:39" hidden="1">
      <c r="M1599" s="152" t="s">
        <v>917</v>
      </c>
      <c r="N1599" s="225">
        <v>2433110</v>
      </c>
      <c r="O1599" s="152" t="s">
        <v>248</v>
      </c>
      <c r="P1599" s="152" t="s">
        <v>245</v>
      </c>
      <c r="Q1599" s="133">
        <v>45139</v>
      </c>
      <c r="R1599" s="152" t="s">
        <v>959</v>
      </c>
      <c r="S1599" s="161" t="s">
        <v>959</v>
      </c>
      <c r="T1599" s="165">
        <v>42848</v>
      </c>
      <c r="U1599" s="172">
        <f t="shared" si="82"/>
        <v>2017</v>
      </c>
      <c r="V1599" s="172">
        <f t="shared" si="83"/>
        <v>4</v>
      </c>
      <c r="W1599" s="157" t="s">
        <v>960</v>
      </c>
      <c r="X1599" t="e">
        <f t="shared" si="84"/>
        <v>#N/A</v>
      </c>
      <c r="AA1599" s="13" t="str">
        <f t="shared" si="81"/>
        <v>אין הצעות למתחם זה</v>
      </c>
      <c r="AE1599" s="43"/>
      <c r="AL1599" s="87" t="s">
        <v>819</v>
      </c>
      <c r="AM1599" s="86">
        <v>514458</v>
      </c>
    </row>
    <row r="1600" spans="13:39" hidden="1">
      <c r="M1600" s="131">
        <v>3.55</v>
      </c>
      <c r="N1600" s="224" t="s">
        <v>812</v>
      </c>
      <c r="O1600" s="132" t="s">
        <v>343</v>
      </c>
      <c r="P1600" s="132" t="s">
        <v>245</v>
      </c>
      <c r="Q1600" s="133">
        <v>1</v>
      </c>
      <c r="R1600" s="132" t="s">
        <v>34</v>
      </c>
      <c r="S1600" s="132" t="s">
        <v>34</v>
      </c>
      <c r="T1600" s="134">
        <v>42498</v>
      </c>
      <c r="U1600" s="172">
        <f t="shared" si="82"/>
        <v>2016</v>
      </c>
      <c r="V1600" s="172">
        <f t="shared" si="83"/>
        <v>5</v>
      </c>
      <c r="W1600" s="44" t="s">
        <v>344</v>
      </c>
      <c r="X1600" t="s">
        <v>894</v>
      </c>
      <c r="Z1600" s="13"/>
      <c r="AA1600" s="13">
        <f t="shared" si="81"/>
        <v>0</v>
      </c>
      <c r="AE1600" s="43"/>
      <c r="AL1600" s="87" t="s">
        <v>819</v>
      </c>
      <c r="AM1600" s="86">
        <v>514458</v>
      </c>
    </row>
    <row r="1601" spans="13:39" hidden="1">
      <c r="M1601" s="131">
        <v>8585</v>
      </c>
      <c r="N1601" s="223">
        <v>19861097</v>
      </c>
      <c r="O1601" s="132" t="s">
        <v>248</v>
      </c>
      <c r="P1601" s="132" t="s">
        <v>251</v>
      </c>
      <c r="Q1601" s="133">
        <v>31</v>
      </c>
      <c r="R1601" s="132" t="s">
        <v>34</v>
      </c>
      <c r="S1601" s="132" t="s">
        <v>34</v>
      </c>
      <c r="T1601" s="134">
        <v>42823</v>
      </c>
      <c r="U1601" s="172">
        <f t="shared" si="82"/>
        <v>2017</v>
      </c>
      <c r="V1601" s="172">
        <f t="shared" si="83"/>
        <v>3</v>
      </c>
      <c r="W1601" s="44" t="s">
        <v>330</v>
      </c>
      <c r="X1601" t="s">
        <v>892</v>
      </c>
      <c r="Y1601">
        <v>90</v>
      </c>
      <c r="Z1601" s="13">
        <v>6090</v>
      </c>
      <c r="AA1601" s="13">
        <f t="shared" si="81"/>
        <v>12948750</v>
      </c>
      <c r="AE1601" s="43"/>
      <c r="AL1601" s="87" t="s">
        <v>819</v>
      </c>
      <c r="AM1601" s="86">
        <v>514458</v>
      </c>
    </row>
    <row r="1602" spans="13:39" hidden="1">
      <c r="M1602" s="131">
        <v>8818</v>
      </c>
      <c r="N1602" s="223">
        <v>24932273</v>
      </c>
      <c r="O1602" s="132" t="s">
        <v>248</v>
      </c>
      <c r="P1602" s="132" t="s">
        <v>251</v>
      </c>
      <c r="Q1602" s="133">
        <v>26</v>
      </c>
      <c r="R1602" s="132" t="s">
        <v>34</v>
      </c>
      <c r="S1602" s="132" t="s">
        <v>34</v>
      </c>
      <c r="T1602" s="134">
        <v>42823</v>
      </c>
      <c r="U1602" s="172">
        <f t="shared" si="82"/>
        <v>2017</v>
      </c>
      <c r="V1602" s="172">
        <f t="shared" si="83"/>
        <v>3</v>
      </c>
      <c r="W1602" s="44" t="s">
        <v>330</v>
      </c>
      <c r="X1602" t="s">
        <v>892</v>
      </c>
      <c r="Y1602">
        <v>99</v>
      </c>
      <c r="Z1602" s="13">
        <v>8396</v>
      </c>
      <c r="AA1602" s="13">
        <f t="shared" si="81"/>
        <v>15973650</v>
      </c>
      <c r="AE1602" s="43"/>
      <c r="AL1602" s="87" t="s">
        <v>819</v>
      </c>
      <c r="AM1602" s="86">
        <v>514458</v>
      </c>
    </row>
    <row r="1603" spans="13:39" hidden="1">
      <c r="M1603" s="131">
        <v>8876</v>
      </c>
      <c r="N1603" s="223">
        <v>19307403</v>
      </c>
      <c r="O1603" s="132" t="s">
        <v>248</v>
      </c>
      <c r="P1603" s="132" t="s">
        <v>251</v>
      </c>
      <c r="Q1603" s="133">
        <v>11</v>
      </c>
      <c r="R1603" s="132" t="s">
        <v>34</v>
      </c>
      <c r="S1603" s="132" t="s">
        <v>34</v>
      </c>
      <c r="T1603" s="134">
        <v>42823</v>
      </c>
      <c r="U1603" s="172">
        <f t="shared" si="82"/>
        <v>2017</v>
      </c>
      <c r="V1603" s="172">
        <f t="shared" si="83"/>
        <v>3</v>
      </c>
      <c r="W1603" s="44" t="s">
        <v>330</v>
      </c>
      <c r="X1603" t="s">
        <v>892</v>
      </c>
      <c r="Y1603">
        <v>90</v>
      </c>
      <c r="Z1603" s="13">
        <v>5412</v>
      </c>
      <c r="AA1603" s="13">
        <f t="shared" si="81"/>
        <v>14913000</v>
      </c>
      <c r="AE1603" s="43"/>
      <c r="AL1603" s="87" t="s">
        <v>819</v>
      </c>
      <c r="AM1603" s="86">
        <v>514458</v>
      </c>
    </row>
    <row r="1604" spans="13:39" hidden="1">
      <c r="M1604" s="131">
        <v>8876</v>
      </c>
      <c r="N1604" s="223">
        <v>32055809</v>
      </c>
      <c r="O1604" s="132" t="s">
        <v>248</v>
      </c>
      <c r="P1604" s="132" t="s">
        <v>251</v>
      </c>
      <c r="Q1604" s="133">
        <v>29</v>
      </c>
      <c r="R1604" s="132" t="s">
        <v>34</v>
      </c>
      <c r="S1604" s="132" t="s">
        <v>34</v>
      </c>
      <c r="T1604" s="134">
        <v>42823</v>
      </c>
      <c r="U1604" s="172">
        <f t="shared" si="82"/>
        <v>2017</v>
      </c>
      <c r="V1604" s="172">
        <f t="shared" si="83"/>
        <v>3</v>
      </c>
      <c r="W1604" s="44" t="s">
        <v>330</v>
      </c>
      <c r="X1604" t="s">
        <v>892</v>
      </c>
      <c r="Y1604">
        <v>152</v>
      </c>
      <c r="Z1604" s="13">
        <v>8496</v>
      </c>
      <c r="AA1604" s="13">
        <f t="shared" ref="AA1604:AA1667" si="85">IF(M1604&lt;30000,Y1604*100*M1604*(1-$L$1)-$L$2*Y1604,M1604)</f>
        <v>25186400</v>
      </c>
      <c r="AE1604" s="43"/>
      <c r="AL1604" s="87" t="s">
        <v>819</v>
      </c>
      <c r="AM1604" s="86">
        <v>514458</v>
      </c>
    </row>
    <row r="1605" spans="13:39" hidden="1">
      <c r="M1605" s="131">
        <v>8918</v>
      </c>
      <c r="N1605" s="223">
        <v>21537486</v>
      </c>
      <c r="O1605" s="132" t="s">
        <v>248</v>
      </c>
      <c r="P1605" s="132" t="s">
        <v>251</v>
      </c>
      <c r="Q1605" s="133">
        <v>13</v>
      </c>
      <c r="R1605" s="132" t="s">
        <v>34</v>
      </c>
      <c r="S1605" s="132" t="s">
        <v>34</v>
      </c>
      <c r="T1605" s="134">
        <v>42823</v>
      </c>
      <c r="U1605" s="172">
        <f t="shared" si="82"/>
        <v>2017</v>
      </c>
      <c r="V1605" s="172">
        <f t="shared" si="83"/>
        <v>3</v>
      </c>
      <c r="W1605" s="44" t="s">
        <v>330</v>
      </c>
      <c r="X1605" t="s">
        <v>892</v>
      </c>
      <c r="Y1605">
        <v>99</v>
      </c>
      <c r="Z1605" s="13">
        <v>7905</v>
      </c>
      <c r="AA1605" s="13">
        <f t="shared" si="85"/>
        <v>16716150</v>
      </c>
      <c r="AE1605" s="43"/>
      <c r="AL1605" s="87" t="s">
        <v>819</v>
      </c>
      <c r="AM1605" s="86">
        <v>514458</v>
      </c>
    </row>
    <row r="1606" spans="13:39" hidden="1">
      <c r="M1606" s="131">
        <v>8918</v>
      </c>
      <c r="N1606" s="223">
        <v>40761979</v>
      </c>
      <c r="O1606" s="132" t="s">
        <v>248</v>
      </c>
      <c r="P1606" s="132" t="s">
        <v>251</v>
      </c>
      <c r="Q1606" s="133">
        <v>21</v>
      </c>
      <c r="R1606" s="132" t="s">
        <v>34</v>
      </c>
      <c r="S1606" s="132" t="s">
        <v>34</v>
      </c>
      <c r="T1606" s="134">
        <v>42823</v>
      </c>
      <c r="U1606" s="172">
        <f t="shared" si="82"/>
        <v>2017</v>
      </c>
      <c r="V1606" s="172">
        <f t="shared" si="83"/>
        <v>3</v>
      </c>
      <c r="W1606" s="44" t="s">
        <v>330</v>
      </c>
      <c r="X1606" t="s">
        <v>892</v>
      </c>
      <c r="Y1606">
        <v>170</v>
      </c>
      <c r="Z1606" s="13">
        <v>17581</v>
      </c>
      <c r="AA1606" s="13">
        <f t="shared" si="85"/>
        <v>28704500</v>
      </c>
      <c r="AE1606" s="43"/>
      <c r="AL1606" s="87" t="s">
        <v>819</v>
      </c>
      <c r="AM1606" s="86">
        <v>514458</v>
      </c>
    </row>
    <row r="1607" spans="13:39" hidden="1">
      <c r="M1607" s="131">
        <v>9108</v>
      </c>
      <c r="N1607" s="223">
        <v>31811018</v>
      </c>
      <c r="O1607" s="132" t="s">
        <v>248</v>
      </c>
      <c r="P1607" s="132" t="s">
        <v>251</v>
      </c>
      <c r="Q1607" s="133">
        <v>8</v>
      </c>
      <c r="R1607" s="132" t="s">
        <v>34</v>
      </c>
      <c r="S1607" s="132" t="s">
        <v>34</v>
      </c>
      <c r="T1607" s="134">
        <v>42823</v>
      </c>
      <c r="U1607" s="172">
        <f t="shared" ref="U1607:U1670" si="86">YEAR($T1607)</f>
        <v>2017</v>
      </c>
      <c r="V1607" s="172">
        <f t="shared" ref="V1607:V1670" si="87">MONTH($T1607)</f>
        <v>3</v>
      </c>
      <c r="W1607" s="44" t="s">
        <v>330</v>
      </c>
      <c r="X1607" t="s">
        <v>892</v>
      </c>
      <c r="Y1607">
        <v>136</v>
      </c>
      <c r="Z1607" s="13">
        <v>11674</v>
      </c>
      <c r="AA1607" s="13">
        <f t="shared" si="85"/>
        <v>24901600</v>
      </c>
      <c r="AE1607" s="43"/>
      <c r="AL1607" s="87" t="s">
        <v>819</v>
      </c>
      <c r="AM1607" s="86">
        <v>514458</v>
      </c>
    </row>
    <row r="1608" spans="13:39" hidden="1">
      <c r="M1608" s="131">
        <v>9118</v>
      </c>
      <c r="N1608" s="223">
        <v>21260646</v>
      </c>
      <c r="O1608" s="132" t="s">
        <v>248</v>
      </c>
      <c r="P1608" s="132" t="s">
        <v>251</v>
      </c>
      <c r="Q1608" s="133">
        <v>9</v>
      </c>
      <c r="R1608" s="132" t="s">
        <v>34</v>
      </c>
      <c r="S1608" s="132" t="s">
        <v>34</v>
      </c>
      <c r="T1608" s="134">
        <v>42823</v>
      </c>
      <c r="U1608" s="172">
        <f t="shared" si="86"/>
        <v>2017</v>
      </c>
      <c r="V1608" s="172">
        <f t="shared" si="87"/>
        <v>3</v>
      </c>
      <c r="W1608" s="44" t="s">
        <v>330</v>
      </c>
      <c r="X1608" t="s">
        <v>892</v>
      </c>
      <c r="Y1608">
        <v>96</v>
      </c>
      <c r="Z1608" s="13">
        <v>7040</v>
      </c>
      <c r="AA1608" s="13">
        <f t="shared" si="85"/>
        <v>17649600</v>
      </c>
      <c r="AE1608" s="43"/>
      <c r="AL1608" s="87" t="s">
        <v>819</v>
      </c>
      <c r="AM1608" s="86">
        <v>514458</v>
      </c>
    </row>
    <row r="1609" spans="13:39" hidden="1">
      <c r="M1609" s="131">
        <v>9118</v>
      </c>
      <c r="N1609" s="223">
        <v>21617234</v>
      </c>
      <c r="O1609" s="132" t="s">
        <v>248</v>
      </c>
      <c r="P1609" s="132" t="s">
        <v>251</v>
      </c>
      <c r="Q1609" s="133">
        <v>10</v>
      </c>
      <c r="R1609" s="132" t="s">
        <v>34</v>
      </c>
      <c r="S1609" s="132" t="s">
        <v>34</v>
      </c>
      <c r="T1609" s="134">
        <v>42823</v>
      </c>
      <c r="U1609" s="172">
        <f t="shared" si="86"/>
        <v>2017</v>
      </c>
      <c r="V1609" s="172">
        <f t="shared" si="87"/>
        <v>3</v>
      </c>
      <c r="W1609" s="44" t="s">
        <v>330</v>
      </c>
      <c r="X1609" t="s">
        <v>892</v>
      </c>
      <c r="Y1609">
        <v>96</v>
      </c>
      <c r="Z1609" s="13">
        <v>7477</v>
      </c>
      <c r="AA1609" s="13">
        <f t="shared" si="85"/>
        <v>17649600</v>
      </c>
      <c r="AE1609" s="43"/>
      <c r="AL1609" s="87" t="s">
        <v>819</v>
      </c>
      <c r="AM1609" s="86">
        <v>514458</v>
      </c>
    </row>
    <row r="1610" spans="13:39" hidden="1">
      <c r="M1610" s="131">
        <v>9118</v>
      </c>
      <c r="N1610" s="223">
        <v>27749123</v>
      </c>
      <c r="O1610" s="132" t="s">
        <v>248</v>
      </c>
      <c r="P1610" s="132" t="s">
        <v>251</v>
      </c>
      <c r="Q1610" s="133">
        <v>16</v>
      </c>
      <c r="R1610" s="132" t="s">
        <v>34</v>
      </c>
      <c r="S1610" s="132" t="s">
        <v>34</v>
      </c>
      <c r="T1610" s="134">
        <v>42823</v>
      </c>
      <c r="U1610" s="172">
        <f t="shared" si="86"/>
        <v>2017</v>
      </c>
      <c r="V1610" s="172">
        <f t="shared" si="87"/>
        <v>3</v>
      </c>
      <c r="W1610" s="44" t="s">
        <v>330</v>
      </c>
      <c r="X1610" t="s">
        <v>892</v>
      </c>
      <c r="Y1610">
        <v>129</v>
      </c>
      <c r="Z1610" s="13">
        <v>9893</v>
      </c>
      <c r="AA1610" s="13">
        <f t="shared" si="85"/>
        <v>23716650</v>
      </c>
      <c r="AE1610" s="43"/>
      <c r="AL1610" s="87" t="s">
        <v>819</v>
      </c>
      <c r="AM1610" s="86">
        <v>514643</v>
      </c>
    </row>
    <row r="1611" spans="13:39" hidden="1">
      <c r="M1611" s="131">
        <v>9141</v>
      </c>
      <c r="N1611" s="223">
        <v>14596993</v>
      </c>
      <c r="O1611" s="132" t="s">
        <v>248</v>
      </c>
      <c r="P1611" s="132" t="s">
        <v>251</v>
      </c>
      <c r="Q1611" s="133">
        <v>27</v>
      </c>
      <c r="R1611" s="132" t="s">
        <v>34</v>
      </c>
      <c r="S1611" s="132" t="s">
        <v>34</v>
      </c>
      <c r="T1611" s="134">
        <v>42823</v>
      </c>
      <c r="U1611" s="172">
        <f t="shared" si="86"/>
        <v>2017</v>
      </c>
      <c r="V1611" s="172">
        <f t="shared" si="87"/>
        <v>3</v>
      </c>
      <c r="W1611" s="44" t="s">
        <v>330</v>
      </c>
      <c r="X1611" t="s">
        <v>892</v>
      </c>
      <c r="Y1611">
        <v>56</v>
      </c>
      <c r="Z1611" s="13">
        <v>7369</v>
      </c>
      <c r="AA1611" s="13">
        <f t="shared" si="85"/>
        <v>10392200</v>
      </c>
      <c r="AE1611" s="43"/>
      <c r="AL1611" s="87" t="s">
        <v>819</v>
      </c>
      <c r="AM1611" s="86">
        <v>514743</v>
      </c>
    </row>
    <row r="1612" spans="13:39" hidden="1">
      <c r="M1612" s="131">
        <v>9218</v>
      </c>
      <c r="N1612" s="223">
        <v>23711186</v>
      </c>
      <c r="O1612" s="132" t="s">
        <v>248</v>
      </c>
      <c r="P1612" s="132" t="s">
        <v>251</v>
      </c>
      <c r="Q1612" s="133">
        <v>23</v>
      </c>
      <c r="R1612" s="132" t="s">
        <v>34</v>
      </c>
      <c r="S1612" s="132" t="s">
        <v>34</v>
      </c>
      <c r="T1612" s="134">
        <v>42823</v>
      </c>
      <c r="U1612" s="172">
        <f t="shared" si="86"/>
        <v>2017</v>
      </c>
      <c r="V1612" s="172">
        <f t="shared" si="87"/>
        <v>3</v>
      </c>
      <c r="W1612" s="44" t="s">
        <v>330</v>
      </c>
      <c r="X1612" t="s">
        <v>892</v>
      </c>
      <c r="Y1612">
        <v>110</v>
      </c>
      <c r="Z1612" s="13">
        <v>8315</v>
      </c>
      <c r="AA1612" s="13">
        <f t="shared" si="85"/>
        <v>21048500</v>
      </c>
      <c r="AE1612" s="43"/>
      <c r="AL1612" s="87" t="s">
        <v>819</v>
      </c>
      <c r="AM1612" s="86">
        <v>515139</v>
      </c>
    </row>
    <row r="1613" spans="13:39" hidden="1">
      <c r="M1613" s="131">
        <v>9220</v>
      </c>
      <c r="N1613" s="223">
        <v>27364353</v>
      </c>
      <c r="O1613" s="132" t="s">
        <v>248</v>
      </c>
      <c r="P1613" s="132" t="s">
        <v>251</v>
      </c>
      <c r="Q1613" s="133">
        <v>18</v>
      </c>
      <c r="R1613" s="132" t="s">
        <v>34</v>
      </c>
      <c r="S1613" s="132" t="s">
        <v>34</v>
      </c>
      <c r="T1613" s="134">
        <v>42823</v>
      </c>
      <c r="U1613" s="172">
        <f t="shared" si="86"/>
        <v>2017</v>
      </c>
      <c r="V1613" s="172">
        <f t="shared" si="87"/>
        <v>3</v>
      </c>
      <c r="W1613" s="44" t="s">
        <v>330</v>
      </c>
      <c r="X1613" t="s">
        <v>892</v>
      </c>
      <c r="Y1613">
        <v>117</v>
      </c>
      <c r="Z1613" s="13">
        <v>11424</v>
      </c>
      <c r="AA1613" s="13">
        <f t="shared" si="85"/>
        <v>22405500</v>
      </c>
      <c r="AE1613" s="43"/>
      <c r="AL1613" s="87" t="s">
        <v>819</v>
      </c>
      <c r="AM1613" s="86">
        <v>515146</v>
      </c>
    </row>
    <row r="1614" spans="13:39" hidden="1">
      <c r="M1614" s="131">
        <v>9318</v>
      </c>
      <c r="N1614" s="223">
        <v>23737288</v>
      </c>
      <c r="O1614" s="132" t="s">
        <v>248</v>
      </c>
      <c r="P1614" s="132" t="s">
        <v>251</v>
      </c>
      <c r="Q1614" s="133">
        <v>4</v>
      </c>
      <c r="R1614" s="132" t="s">
        <v>34</v>
      </c>
      <c r="S1614" s="132" t="s">
        <v>34</v>
      </c>
      <c r="T1614" s="134">
        <v>42823</v>
      </c>
      <c r="U1614" s="172">
        <f t="shared" si="86"/>
        <v>2017</v>
      </c>
      <c r="V1614" s="172">
        <f t="shared" si="87"/>
        <v>3</v>
      </c>
      <c r="W1614" s="44" t="s">
        <v>330</v>
      </c>
      <c r="X1614" t="s">
        <v>892</v>
      </c>
      <c r="Y1614">
        <v>102</v>
      </c>
      <c r="Z1614" s="13">
        <v>9957</v>
      </c>
      <c r="AA1614" s="13">
        <f t="shared" si="85"/>
        <v>20282700</v>
      </c>
      <c r="AE1614" s="43"/>
      <c r="AL1614" s="87" t="s">
        <v>819</v>
      </c>
      <c r="AM1614" s="86">
        <v>515455</v>
      </c>
    </row>
    <row r="1615" spans="13:39" hidden="1">
      <c r="M1615" s="131">
        <v>9318</v>
      </c>
      <c r="N1615" s="223">
        <v>41875914</v>
      </c>
      <c r="O1615" s="132" t="s">
        <v>248</v>
      </c>
      <c r="P1615" s="132" t="s">
        <v>251</v>
      </c>
      <c r="Q1615" s="133">
        <v>30</v>
      </c>
      <c r="R1615" s="132" t="s">
        <v>34</v>
      </c>
      <c r="S1615" s="132" t="s">
        <v>34</v>
      </c>
      <c r="T1615" s="134">
        <v>42823</v>
      </c>
      <c r="U1615" s="172">
        <f t="shared" si="86"/>
        <v>2017</v>
      </c>
      <c r="V1615" s="172">
        <f t="shared" si="87"/>
        <v>3</v>
      </c>
      <c r="W1615" s="44" t="s">
        <v>330</v>
      </c>
      <c r="X1615" t="s">
        <v>892</v>
      </c>
      <c r="Y1615">
        <v>205</v>
      </c>
      <c r="Z1615" s="13">
        <v>12675</v>
      </c>
      <c r="AA1615" s="13">
        <f t="shared" si="85"/>
        <v>40764250</v>
      </c>
      <c r="AE1615" s="43"/>
      <c r="AL1615" s="87" t="s">
        <v>819</v>
      </c>
      <c r="AM1615" s="86">
        <v>515699</v>
      </c>
    </row>
    <row r="1616" spans="13:39" hidden="1">
      <c r="M1616" s="131">
        <v>9370</v>
      </c>
      <c r="N1616" s="223">
        <v>33361536</v>
      </c>
      <c r="O1616" s="132" t="s">
        <v>248</v>
      </c>
      <c r="P1616" s="132" t="s">
        <v>251</v>
      </c>
      <c r="Q1616" s="133">
        <v>17</v>
      </c>
      <c r="R1616" s="132" t="s">
        <v>34</v>
      </c>
      <c r="S1616" s="132" t="s">
        <v>34</v>
      </c>
      <c r="T1616" s="134">
        <v>42823</v>
      </c>
      <c r="U1616" s="172">
        <f t="shared" si="86"/>
        <v>2017</v>
      </c>
      <c r="V1616" s="172">
        <f t="shared" si="87"/>
        <v>3</v>
      </c>
      <c r="W1616" s="44" t="s">
        <v>330</v>
      </c>
      <c r="X1616" t="s">
        <v>892</v>
      </c>
      <c r="Y1616">
        <v>158</v>
      </c>
      <c r="Z1616" s="13">
        <v>11328</v>
      </c>
      <c r="AA1616" s="13">
        <f t="shared" si="85"/>
        <v>32034500</v>
      </c>
      <c r="AE1616" s="43"/>
      <c r="AL1616" s="87" t="s">
        <v>819</v>
      </c>
      <c r="AM1616" s="86">
        <v>515889</v>
      </c>
    </row>
    <row r="1617" spans="13:39" hidden="1">
      <c r="M1617" s="131">
        <v>9393</v>
      </c>
      <c r="N1617" s="223">
        <v>10729111</v>
      </c>
      <c r="O1617" s="132" t="s">
        <v>248</v>
      </c>
      <c r="P1617" s="132" t="s">
        <v>251</v>
      </c>
      <c r="Q1617" s="133">
        <v>28</v>
      </c>
      <c r="R1617" s="132" t="s">
        <v>34</v>
      </c>
      <c r="S1617" s="132" t="s">
        <v>34</v>
      </c>
      <c r="T1617" s="134">
        <v>42823</v>
      </c>
      <c r="U1617" s="172">
        <f t="shared" si="86"/>
        <v>2017</v>
      </c>
      <c r="V1617" s="172">
        <f t="shared" si="87"/>
        <v>3</v>
      </c>
      <c r="W1617" s="44" t="s">
        <v>330</v>
      </c>
      <c r="X1617" t="s">
        <v>892</v>
      </c>
      <c r="Y1617">
        <v>49</v>
      </c>
      <c r="Z1617" s="13">
        <v>3966</v>
      </c>
      <c r="AA1617" s="13">
        <f t="shared" si="85"/>
        <v>10019275</v>
      </c>
      <c r="AE1617" s="43"/>
      <c r="AL1617" s="87" t="s">
        <v>819</v>
      </c>
      <c r="AM1617" s="86">
        <v>515889</v>
      </c>
    </row>
    <row r="1618" spans="13:39" hidden="1">
      <c r="M1618" s="131">
        <v>9418</v>
      </c>
      <c r="N1618" s="223">
        <v>27352036</v>
      </c>
      <c r="O1618" s="132" t="s">
        <v>248</v>
      </c>
      <c r="P1618" s="132" t="s">
        <v>251</v>
      </c>
      <c r="Q1618" s="133">
        <v>22</v>
      </c>
      <c r="R1618" s="132" t="s">
        <v>34</v>
      </c>
      <c r="S1618" s="132" t="s">
        <v>34</v>
      </c>
      <c r="T1618" s="134">
        <v>42823</v>
      </c>
      <c r="U1618" s="172">
        <f t="shared" si="86"/>
        <v>2017</v>
      </c>
      <c r="V1618" s="172">
        <f t="shared" si="87"/>
        <v>3</v>
      </c>
      <c r="W1618" s="44" t="s">
        <v>330</v>
      </c>
      <c r="X1618" t="s">
        <v>892</v>
      </c>
      <c r="Y1618">
        <v>121</v>
      </c>
      <c r="Z1618" s="13">
        <v>10928</v>
      </c>
      <c r="AA1618" s="13">
        <f t="shared" si="85"/>
        <v>24968350</v>
      </c>
      <c r="AE1618" s="43"/>
      <c r="AL1618" s="87" t="s">
        <v>819</v>
      </c>
      <c r="AM1618" s="86">
        <v>515889</v>
      </c>
    </row>
    <row r="1619" spans="13:39" hidden="1">
      <c r="M1619" s="131">
        <v>9418</v>
      </c>
      <c r="N1619" s="223">
        <v>40703553</v>
      </c>
      <c r="O1619" s="132" t="s">
        <v>248</v>
      </c>
      <c r="P1619" s="132" t="s">
        <v>251</v>
      </c>
      <c r="Q1619" s="133">
        <v>20</v>
      </c>
      <c r="R1619" s="132" t="s">
        <v>34</v>
      </c>
      <c r="S1619" s="132" t="s">
        <v>34</v>
      </c>
      <c r="T1619" s="134">
        <v>42823</v>
      </c>
      <c r="U1619" s="172">
        <f t="shared" si="86"/>
        <v>2017</v>
      </c>
      <c r="V1619" s="172">
        <f t="shared" si="87"/>
        <v>3</v>
      </c>
      <c r="W1619" s="44" t="s">
        <v>330</v>
      </c>
      <c r="X1619" t="s">
        <v>892</v>
      </c>
      <c r="Y1619">
        <v>188</v>
      </c>
      <c r="Z1619" s="13">
        <v>14552</v>
      </c>
      <c r="AA1619" s="13">
        <f t="shared" si="85"/>
        <v>38793800</v>
      </c>
      <c r="AE1619" s="43"/>
      <c r="AL1619" s="87" t="s">
        <v>819</v>
      </c>
      <c r="AM1619" s="86">
        <v>515889</v>
      </c>
    </row>
    <row r="1620" spans="13:39" hidden="1">
      <c r="M1620" s="131">
        <v>9418</v>
      </c>
      <c r="N1620" s="223">
        <v>46319666</v>
      </c>
      <c r="O1620" s="132" t="s">
        <v>248</v>
      </c>
      <c r="P1620" s="132" t="s">
        <v>251</v>
      </c>
      <c r="Q1620" s="133">
        <v>7</v>
      </c>
      <c r="R1620" s="132" t="s">
        <v>34</v>
      </c>
      <c r="S1620" s="132" t="s">
        <v>34</v>
      </c>
      <c r="T1620" s="134">
        <v>42823</v>
      </c>
      <c r="U1620" s="172">
        <f t="shared" si="86"/>
        <v>2017</v>
      </c>
      <c r="V1620" s="172">
        <f t="shared" si="87"/>
        <v>3</v>
      </c>
      <c r="W1620" s="44" t="s">
        <v>330</v>
      </c>
      <c r="X1620" t="s">
        <v>892</v>
      </c>
      <c r="Y1620">
        <v>216</v>
      </c>
      <c r="Z1620" s="13">
        <v>16510</v>
      </c>
      <c r="AA1620" s="13">
        <f t="shared" si="85"/>
        <v>44571600</v>
      </c>
      <c r="AE1620" s="43"/>
      <c r="AL1620" s="87" t="s">
        <v>819</v>
      </c>
      <c r="AM1620" s="86">
        <v>5159161</v>
      </c>
    </row>
    <row r="1621" spans="13:39" hidden="1">
      <c r="M1621" s="131">
        <v>9518</v>
      </c>
      <c r="N1621" s="223">
        <v>20008911</v>
      </c>
      <c r="O1621" s="132" t="s">
        <v>248</v>
      </c>
      <c r="P1621" s="132" t="s">
        <v>251</v>
      </c>
      <c r="Q1621" s="133">
        <v>5</v>
      </c>
      <c r="R1621" s="132" t="s">
        <v>34</v>
      </c>
      <c r="S1621" s="132" t="s">
        <v>34</v>
      </c>
      <c r="T1621" s="134">
        <v>42823</v>
      </c>
      <c r="U1621" s="172">
        <f t="shared" si="86"/>
        <v>2017</v>
      </c>
      <c r="V1621" s="172">
        <f t="shared" si="87"/>
        <v>3</v>
      </c>
      <c r="W1621" s="44" t="s">
        <v>330</v>
      </c>
      <c r="X1621" t="s">
        <v>892</v>
      </c>
      <c r="Y1621">
        <v>94</v>
      </c>
      <c r="Z1621" s="13">
        <v>6914</v>
      </c>
      <c r="AA1621" s="13">
        <f t="shared" si="85"/>
        <v>20101900</v>
      </c>
      <c r="AE1621" s="43"/>
      <c r="AL1621" s="87" t="s">
        <v>819</v>
      </c>
      <c r="AM1621" s="86">
        <v>515950</v>
      </c>
    </row>
    <row r="1622" spans="13:39" hidden="1">
      <c r="M1622" s="131">
        <v>9756</v>
      </c>
      <c r="N1622" s="223">
        <v>16827394</v>
      </c>
      <c r="O1622" s="132" t="s">
        <v>248</v>
      </c>
      <c r="P1622" s="132" t="s">
        <v>251</v>
      </c>
      <c r="Q1622" s="133">
        <v>32</v>
      </c>
      <c r="R1622" s="132" t="s">
        <v>34</v>
      </c>
      <c r="S1622" s="132" t="s">
        <v>34</v>
      </c>
      <c r="T1622" s="134">
        <v>42823</v>
      </c>
      <c r="U1622" s="172">
        <f t="shared" si="86"/>
        <v>2017</v>
      </c>
      <c r="V1622" s="172">
        <f t="shared" si="87"/>
        <v>3</v>
      </c>
      <c r="W1622" s="44" t="s">
        <v>330</v>
      </c>
      <c r="X1622" t="s">
        <v>892</v>
      </c>
      <c r="Y1622">
        <v>94</v>
      </c>
      <c r="Z1622" s="13">
        <v>2963</v>
      </c>
      <c r="AA1622" s="13">
        <f t="shared" si="85"/>
        <v>21779800</v>
      </c>
      <c r="AE1622" s="43"/>
      <c r="AL1622" s="87" t="s">
        <v>819</v>
      </c>
      <c r="AM1622" s="86">
        <v>516166</v>
      </c>
    </row>
    <row r="1623" spans="13:39" hidden="1">
      <c r="M1623" s="131">
        <v>9777</v>
      </c>
      <c r="N1623" s="223">
        <v>15745367</v>
      </c>
      <c r="O1623" s="132" t="s">
        <v>248</v>
      </c>
      <c r="P1623" s="132" t="s">
        <v>251</v>
      </c>
      <c r="Q1623" s="133">
        <v>6</v>
      </c>
      <c r="R1623" s="132" t="s">
        <v>34</v>
      </c>
      <c r="S1623" s="132" t="s">
        <v>34</v>
      </c>
      <c r="T1623" s="134">
        <v>42823</v>
      </c>
      <c r="U1623" s="172">
        <f t="shared" si="86"/>
        <v>2017</v>
      </c>
      <c r="V1623" s="172">
        <f t="shared" si="87"/>
        <v>3</v>
      </c>
      <c r="W1623" s="44" t="s">
        <v>330</v>
      </c>
      <c r="X1623" t="s">
        <v>892</v>
      </c>
      <c r="Y1623">
        <v>72</v>
      </c>
      <c r="Z1623" s="13">
        <v>5798</v>
      </c>
      <c r="AA1623" s="13">
        <f t="shared" si="85"/>
        <v>16795800</v>
      </c>
      <c r="AE1623" s="43"/>
      <c r="AL1623" s="87" t="s">
        <v>819</v>
      </c>
      <c r="AM1623" s="86">
        <v>516625</v>
      </c>
    </row>
    <row r="1624" spans="13:39" hidden="1">
      <c r="M1624" s="131">
        <v>9888</v>
      </c>
      <c r="N1624" s="223">
        <v>15470393</v>
      </c>
      <c r="O1624" s="132" t="s">
        <v>248</v>
      </c>
      <c r="P1624" s="132" t="s">
        <v>251</v>
      </c>
      <c r="Q1624" s="133">
        <v>24</v>
      </c>
      <c r="R1624" s="132" t="s">
        <v>34</v>
      </c>
      <c r="S1624" s="132" t="s">
        <v>34</v>
      </c>
      <c r="T1624" s="134">
        <v>42823</v>
      </c>
      <c r="U1624" s="172">
        <f t="shared" si="86"/>
        <v>2017</v>
      </c>
      <c r="V1624" s="172">
        <f t="shared" si="87"/>
        <v>3</v>
      </c>
      <c r="W1624" s="44" t="s">
        <v>330</v>
      </c>
      <c r="X1624" t="s">
        <v>892</v>
      </c>
      <c r="Y1624">
        <v>79</v>
      </c>
      <c r="Z1624" s="13">
        <v>4238</v>
      </c>
      <c r="AA1624" s="13">
        <f t="shared" si="85"/>
        <v>19086400</v>
      </c>
      <c r="AE1624" s="43"/>
      <c r="AL1624" s="87" t="s">
        <v>819</v>
      </c>
      <c r="AM1624" s="86">
        <v>516625</v>
      </c>
    </row>
    <row r="1625" spans="13:39" hidden="1">
      <c r="M1625" s="131">
        <v>9994</v>
      </c>
      <c r="N1625" s="223">
        <v>24564072</v>
      </c>
      <c r="O1625" s="132" t="s">
        <v>248</v>
      </c>
      <c r="P1625" s="132" t="s">
        <v>251</v>
      </c>
      <c r="Q1625" s="133">
        <v>12</v>
      </c>
      <c r="R1625" s="132" t="s">
        <v>34</v>
      </c>
      <c r="S1625" s="132" t="s">
        <v>34</v>
      </c>
      <c r="T1625" s="134">
        <v>42823</v>
      </c>
      <c r="U1625" s="172">
        <f t="shared" si="86"/>
        <v>2017</v>
      </c>
      <c r="V1625" s="172">
        <f t="shared" si="87"/>
        <v>3</v>
      </c>
      <c r="W1625" s="44" t="s">
        <v>330</v>
      </c>
      <c r="X1625" t="s">
        <v>892</v>
      </c>
      <c r="Y1625">
        <v>112</v>
      </c>
      <c r="Z1625" s="13">
        <v>9062</v>
      </c>
      <c r="AA1625" s="13">
        <f t="shared" si="85"/>
        <v>27949600</v>
      </c>
      <c r="AE1625" s="43"/>
      <c r="AL1625" s="87" t="s">
        <v>819</v>
      </c>
      <c r="AM1625" s="86">
        <v>516737</v>
      </c>
    </row>
    <row r="1626" spans="13:39" hidden="1">
      <c r="M1626" s="131">
        <v>10218</v>
      </c>
      <c r="N1626" s="223">
        <v>34358453</v>
      </c>
      <c r="O1626" s="132" t="s">
        <v>248</v>
      </c>
      <c r="P1626" s="132" t="s">
        <v>251</v>
      </c>
      <c r="Q1626" s="133">
        <v>19</v>
      </c>
      <c r="R1626" s="132" t="s">
        <v>34</v>
      </c>
      <c r="S1626" s="132" t="s">
        <v>34</v>
      </c>
      <c r="T1626" s="134">
        <v>42823</v>
      </c>
      <c r="U1626" s="172">
        <f t="shared" si="86"/>
        <v>2017</v>
      </c>
      <c r="V1626" s="172">
        <f t="shared" si="87"/>
        <v>3</v>
      </c>
      <c r="W1626" s="44" t="s">
        <v>330</v>
      </c>
      <c r="X1626" t="s">
        <v>892</v>
      </c>
      <c r="Y1626">
        <v>170</v>
      </c>
      <c r="Z1626" s="13">
        <v>10169</v>
      </c>
      <c r="AA1626" s="13">
        <f t="shared" si="85"/>
        <v>45279500</v>
      </c>
      <c r="AE1626" s="43"/>
      <c r="AL1626" s="87" t="s">
        <v>819</v>
      </c>
      <c r="AM1626" s="86">
        <v>5169289</v>
      </c>
    </row>
    <row r="1627" spans="13:39" hidden="1">
      <c r="M1627" s="131">
        <v>10305</v>
      </c>
      <c r="N1627" s="223">
        <v>25149081</v>
      </c>
      <c r="O1627" s="132" t="s">
        <v>248</v>
      </c>
      <c r="P1627" s="132" t="s">
        <v>251</v>
      </c>
      <c r="Q1627" s="133">
        <v>33</v>
      </c>
      <c r="R1627" s="132" t="s">
        <v>34</v>
      </c>
      <c r="S1627" s="132" t="s">
        <v>34</v>
      </c>
      <c r="T1627" s="134">
        <v>42823</v>
      </c>
      <c r="U1627" s="172">
        <f t="shared" si="86"/>
        <v>2017</v>
      </c>
      <c r="V1627" s="172">
        <f t="shared" si="87"/>
        <v>3</v>
      </c>
      <c r="W1627" s="44" t="s">
        <v>330</v>
      </c>
      <c r="X1627" t="s">
        <v>892</v>
      </c>
      <c r="Y1627">
        <v>141</v>
      </c>
      <c r="Z1627" s="13">
        <v>433</v>
      </c>
      <c r="AA1627" s="13">
        <f t="shared" si="85"/>
        <v>38475375</v>
      </c>
      <c r="AE1627" s="43"/>
      <c r="AL1627" s="87" t="s">
        <v>819</v>
      </c>
      <c r="AM1627" s="86">
        <v>517305</v>
      </c>
    </row>
    <row r="1628" spans="13:39" hidden="1">
      <c r="M1628" s="131">
        <v>10318</v>
      </c>
      <c r="N1628" s="223">
        <v>29618647</v>
      </c>
      <c r="O1628" s="132" t="s">
        <v>248</v>
      </c>
      <c r="P1628" s="132" t="s">
        <v>251</v>
      </c>
      <c r="Q1628" s="133">
        <v>14</v>
      </c>
      <c r="R1628" s="132" t="s">
        <v>34</v>
      </c>
      <c r="S1628" s="132" t="s">
        <v>34</v>
      </c>
      <c r="T1628" s="134">
        <v>42823</v>
      </c>
      <c r="U1628" s="172">
        <f t="shared" si="86"/>
        <v>2017</v>
      </c>
      <c r="V1628" s="172">
        <f t="shared" si="87"/>
        <v>3</v>
      </c>
      <c r="W1628" s="44" t="s">
        <v>330</v>
      </c>
      <c r="X1628" t="s">
        <v>892</v>
      </c>
      <c r="Y1628">
        <v>155</v>
      </c>
      <c r="Z1628" s="13">
        <v>7180</v>
      </c>
      <c r="AA1628" s="13">
        <f t="shared" si="85"/>
        <v>42446750</v>
      </c>
      <c r="AE1628" s="43"/>
      <c r="AL1628" s="87" t="s">
        <v>819</v>
      </c>
      <c r="AM1628" s="86">
        <v>517908</v>
      </c>
    </row>
    <row r="1629" spans="13:39" hidden="1">
      <c r="M1629" s="131">
        <v>10377</v>
      </c>
      <c r="N1629" s="223">
        <v>16905892</v>
      </c>
      <c r="O1629" s="132" t="s">
        <v>248</v>
      </c>
      <c r="P1629" s="132" t="s">
        <v>251</v>
      </c>
      <c r="Q1629" s="133">
        <v>25</v>
      </c>
      <c r="R1629" s="132" t="s">
        <v>34</v>
      </c>
      <c r="S1629" s="132" t="s">
        <v>34</v>
      </c>
      <c r="T1629" s="134">
        <v>42823</v>
      </c>
      <c r="U1629" s="172">
        <f t="shared" si="86"/>
        <v>2017</v>
      </c>
      <c r="V1629" s="172">
        <f t="shared" si="87"/>
        <v>3</v>
      </c>
      <c r="W1629" s="44" t="s">
        <v>330</v>
      </c>
      <c r="X1629" t="s">
        <v>892</v>
      </c>
      <c r="Y1629">
        <v>87</v>
      </c>
      <c r="Z1629" s="13">
        <v>4495</v>
      </c>
      <c r="AA1629" s="13">
        <f t="shared" si="85"/>
        <v>24209925</v>
      </c>
      <c r="AE1629" s="43"/>
      <c r="AL1629" s="87" t="s">
        <v>819</v>
      </c>
      <c r="AM1629" s="86">
        <v>518339</v>
      </c>
    </row>
    <row r="1630" spans="13:39" hidden="1">
      <c r="M1630" s="131">
        <v>10615</v>
      </c>
      <c r="N1630" s="223">
        <v>23320173</v>
      </c>
      <c r="O1630" s="132" t="s">
        <v>248</v>
      </c>
      <c r="P1630" s="132" t="s">
        <v>251</v>
      </c>
      <c r="Q1630" s="133">
        <v>15</v>
      </c>
      <c r="R1630" s="132" t="s">
        <v>34</v>
      </c>
      <c r="S1630" s="132" t="s">
        <v>34</v>
      </c>
      <c r="T1630" s="134">
        <v>42823</v>
      </c>
      <c r="U1630" s="172">
        <f t="shared" si="86"/>
        <v>2017</v>
      </c>
      <c r="V1630" s="172">
        <f t="shared" si="87"/>
        <v>3</v>
      </c>
      <c r="W1630" s="44" t="s">
        <v>330</v>
      </c>
      <c r="X1630" t="s">
        <v>892</v>
      </c>
      <c r="Y1630">
        <v>124</v>
      </c>
      <c r="Z1630" s="13">
        <v>5284</v>
      </c>
      <c r="AA1630" s="13">
        <f t="shared" si="85"/>
        <v>36719500</v>
      </c>
      <c r="AE1630" s="43"/>
      <c r="AL1630" s="87" t="s">
        <v>819</v>
      </c>
      <c r="AM1630" s="86">
        <v>518339</v>
      </c>
    </row>
    <row r="1631" spans="13:39" hidden="1">
      <c r="M1631" s="131">
        <v>2500010</v>
      </c>
      <c r="N1631" s="223">
        <v>1474324</v>
      </c>
      <c r="O1631" s="132" t="s">
        <v>248</v>
      </c>
      <c r="P1631" s="132" t="s">
        <v>245</v>
      </c>
      <c r="Q1631" s="135" t="s">
        <v>261</v>
      </c>
      <c r="R1631" s="132" t="s">
        <v>353</v>
      </c>
      <c r="S1631" s="132" t="s">
        <v>34</v>
      </c>
      <c r="T1631" s="134">
        <v>42004</v>
      </c>
      <c r="U1631" s="172">
        <f t="shared" si="86"/>
        <v>2014</v>
      </c>
      <c r="V1631" s="172">
        <f t="shared" si="87"/>
        <v>12</v>
      </c>
      <c r="W1631" s="44" t="s">
        <v>354</v>
      </c>
      <c r="X1631" t="s">
        <v>892</v>
      </c>
      <c r="Y1631">
        <v>6</v>
      </c>
      <c r="Z1631" s="13">
        <v>820</v>
      </c>
      <c r="AA1631" s="13">
        <f t="shared" si="85"/>
        <v>2500010</v>
      </c>
      <c r="AE1631" s="43"/>
      <c r="AL1631" s="87" t="s">
        <v>819</v>
      </c>
      <c r="AM1631" s="86">
        <v>518339</v>
      </c>
    </row>
    <row r="1632" spans="13:39" hidden="1">
      <c r="M1632" s="131">
        <v>4080000</v>
      </c>
      <c r="N1632" s="223">
        <v>2850615</v>
      </c>
      <c r="O1632" s="132" t="s">
        <v>248</v>
      </c>
      <c r="P1632" s="132" t="s">
        <v>245</v>
      </c>
      <c r="Q1632" s="135" t="s">
        <v>260</v>
      </c>
      <c r="R1632" s="132" t="s">
        <v>353</v>
      </c>
      <c r="S1632" s="132" t="s">
        <v>34</v>
      </c>
      <c r="T1632" s="134">
        <v>42004</v>
      </c>
      <c r="U1632" s="172">
        <f t="shared" si="86"/>
        <v>2014</v>
      </c>
      <c r="V1632" s="172">
        <f t="shared" si="87"/>
        <v>12</v>
      </c>
      <c r="W1632" s="44" t="s">
        <v>354</v>
      </c>
      <c r="X1632" t="s">
        <v>892</v>
      </c>
      <c r="Y1632">
        <v>12</v>
      </c>
      <c r="Z1632" s="13">
        <v>1564</v>
      </c>
      <c r="AA1632" s="13">
        <f t="shared" si="85"/>
        <v>4080000</v>
      </c>
      <c r="AE1632" s="43"/>
      <c r="AL1632" s="87" t="s">
        <v>819</v>
      </c>
      <c r="AM1632" s="86">
        <v>518339</v>
      </c>
    </row>
    <row r="1633" spans="13:39" hidden="1">
      <c r="M1633" s="131">
        <v>4530000</v>
      </c>
      <c r="N1633" s="223">
        <v>1890493</v>
      </c>
      <c r="O1633" s="132" t="s">
        <v>285</v>
      </c>
      <c r="P1633" s="132" t="s">
        <v>245</v>
      </c>
      <c r="Q1633" s="133">
        <v>17</v>
      </c>
      <c r="R1633" s="132" t="s">
        <v>34</v>
      </c>
      <c r="S1633" s="132" t="s">
        <v>34</v>
      </c>
      <c r="T1633" s="134">
        <v>41945</v>
      </c>
      <c r="U1633" s="172">
        <f t="shared" si="86"/>
        <v>2014</v>
      </c>
      <c r="V1633" s="172">
        <f t="shared" si="87"/>
        <v>11</v>
      </c>
      <c r="W1633" s="44" t="s">
        <v>376</v>
      </c>
      <c r="X1633" t="s">
        <v>894</v>
      </c>
      <c r="Z1633" s="13">
        <v>7056</v>
      </c>
      <c r="AA1633" s="13">
        <f t="shared" si="85"/>
        <v>4530000</v>
      </c>
      <c r="AE1633" s="43"/>
      <c r="AL1633" s="87" t="s">
        <v>819</v>
      </c>
      <c r="AM1633" s="86">
        <v>518339</v>
      </c>
    </row>
    <row r="1634" spans="13:39" hidden="1">
      <c r="M1634" s="131">
        <v>4615000</v>
      </c>
      <c r="N1634" s="223">
        <v>2954511</v>
      </c>
      <c r="O1634" s="132" t="s">
        <v>248</v>
      </c>
      <c r="P1634" s="132" t="s">
        <v>245</v>
      </c>
      <c r="Q1634" s="135" t="s">
        <v>257</v>
      </c>
      <c r="R1634" s="132" t="s">
        <v>353</v>
      </c>
      <c r="S1634" s="132" t="s">
        <v>34</v>
      </c>
      <c r="T1634" s="134">
        <v>42004</v>
      </c>
      <c r="U1634" s="172">
        <f t="shared" si="86"/>
        <v>2014</v>
      </c>
      <c r="V1634" s="172">
        <f t="shared" si="87"/>
        <v>12</v>
      </c>
      <c r="W1634" s="96" t="s">
        <v>354</v>
      </c>
      <c r="X1634" t="s">
        <v>892</v>
      </c>
      <c r="Y1634">
        <v>12</v>
      </c>
      <c r="Z1634" s="13">
        <v>1706</v>
      </c>
      <c r="AA1634" s="13">
        <f t="shared" si="85"/>
        <v>4615000</v>
      </c>
      <c r="AB1634" s="16"/>
      <c r="AD1634" s="15">
        <f t="shared" ref="AD1634:AD1639" si="88">(AA1634+N1634)/Y1634</f>
        <v>630792.58333333337</v>
      </c>
      <c r="AE1634" s="43"/>
      <c r="AL1634" s="87" t="s">
        <v>819</v>
      </c>
      <c r="AM1634" s="86">
        <v>518339</v>
      </c>
    </row>
    <row r="1635" spans="13:39" hidden="1">
      <c r="M1635" s="131">
        <v>5004000</v>
      </c>
      <c r="N1635" s="223">
        <v>5159161</v>
      </c>
      <c r="O1635" s="132" t="s">
        <v>248</v>
      </c>
      <c r="P1635" s="132" t="s">
        <v>245</v>
      </c>
      <c r="Q1635" s="135" t="s">
        <v>357</v>
      </c>
      <c r="R1635" s="132" t="s">
        <v>353</v>
      </c>
      <c r="S1635" s="132" t="s">
        <v>34</v>
      </c>
      <c r="T1635" s="134">
        <v>42004</v>
      </c>
      <c r="U1635" s="172">
        <f t="shared" si="86"/>
        <v>2014</v>
      </c>
      <c r="V1635" s="172">
        <f t="shared" si="87"/>
        <v>12</v>
      </c>
      <c r="W1635" s="96" t="s">
        <v>354</v>
      </c>
      <c r="X1635" t="s">
        <v>892</v>
      </c>
      <c r="Y1635">
        <v>24</v>
      </c>
      <c r="Z1635" s="13">
        <v>2677</v>
      </c>
      <c r="AA1635" s="13">
        <f t="shared" si="85"/>
        <v>5004000</v>
      </c>
      <c r="AB1635" s="16"/>
      <c r="AD1635" s="15">
        <f t="shared" si="88"/>
        <v>423465.04166666669</v>
      </c>
      <c r="AE1635" s="43"/>
      <c r="AL1635" s="87" t="s">
        <v>819</v>
      </c>
      <c r="AM1635" s="86">
        <v>518339</v>
      </c>
    </row>
    <row r="1636" spans="13:39" hidden="1">
      <c r="M1636" s="131">
        <v>5600000</v>
      </c>
      <c r="N1636" s="223">
        <v>6660411</v>
      </c>
      <c r="O1636" s="132" t="s">
        <v>248</v>
      </c>
      <c r="P1636" s="132" t="s">
        <v>245</v>
      </c>
      <c r="Q1636" s="135" t="s">
        <v>360</v>
      </c>
      <c r="R1636" s="132" t="s">
        <v>353</v>
      </c>
      <c r="S1636" s="132" t="s">
        <v>34</v>
      </c>
      <c r="T1636" s="134">
        <v>42004</v>
      </c>
      <c r="U1636" s="172">
        <f t="shared" si="86"/>
        <v>2014</v>
      </c>
      <c r="V1636" s="172">
        <f t="shared" si="87"/>
        <v>12</v>
      </c>
      <c r="W1636" s="96" t="s">
        <v>354</v>
      </c>
      <c r="X1636" t="s">
        <v>892</v>
      </c>
      <c r="Y1636">
        <v>30</v>
      </c>
      <c r="Z1636" s="13">
        <v>3645</v>
      </c>
      <c r="AA1636" s="13">
        <f t="shared" si="85"/>
        <v>5600000</v>
      </c>
      <c r="AB1636" s="16"/>
      <c r="AD1636" s="15">
        <f t="shared" si="88"/>
        <v>408680.36666666664</v>
      </c>
      <c r="AE1636" s="43"/>
      <c r="AL1636" s="87" t="s">
        <v>819</v>
      </c>
      <c r="AM1636" s="86">
        <v>518339</v>
      </c>
    </row>
    <row r="1637" spans="13:39" hidden="1">
      <c r="M1637" s="131">
        <v>5700075</v>
      </c>
      <c r="N1637" s="223">
        <v>5031991</v>
      </c>
      <c r="O1637" s="132" t="s">
        <v>248</v>
      </c>
      <c r="P1637" s="132" t="s">
        <v>245</v>
      </c>
      <c r="Q1637" s="135" t="s">
        <v>355</v>
      </c>
      <c r="R1637" s="132" t="s">
        <v>353</v>
      </c>
      <c r="S1637" s="132" t="s">
        <v>34</v>
      </c>
      <c r="T1637" s="134">
        <v>42004</v>
      </c>
      <c r="U1637" s="172">
        <f t="shared" si="86"/>
        <v>2014</v>
      </c>
      <c r="V1637" s="172">
        <f t="shared" si="87"/>
        <v>12</v>
      </c>
      <c r="W1637" s="96" t="s">
        <v>354</v>
      </c>
      <c r="X1637" t="s">
        <v>892</v>
      </c>
      <c r="Y1637">
        <v>22</v>
      </c>
      <c r="Z1637" s="13">
        <v>2573</v>
      </c>
      <c r="AA1637" s="13">
        <f t="shared" si="85"/>
        <v>5700075</v>
      </c>
      <c r="AB1637" s="16"/>
      <c r="AD1637" s="15">
        <f t="shared" si="88"/>
        <v>487821.18181818182</v>
      </c>
      <c r="AE1637" s="43"/>
      <c r="AL1637" s="87" t="s">
        <v>819</v>
      </c>
      <c r="AM1637" s="86">
        <v>518339</v>
      </c>
    </row>
    <row r="1638" spans="13:39" hidden="1">
      <c r="M1638" s="131">
        <v>6215555</v>
      </c>
      <c r="N1638" s="223">
        <v>3060336</v>
      </c>
      <c r="O1638" s="132" t="s">
        <v>285</v>
      </c>
      <c r="P1638" s="132" t="s">
        <v>245</v>
      </c>
      <c r="Q1638" s="133">
        <v>18</v>
      </c>
      <c r="R1638" s="132" t="s">
        <v>34</v>
      </c>
      <c r="S1638" s="132" t="s">
        <v>34</v>
      </c>
      <c r="T1638" s="134">
        <v>41945</v>
      </c>
      <c r="U1638" s="172">
        <f t="shared" si="86"/>
        <v>2014</v>
      </c>
      <c r="V1638" s="172">
        <f t="shared" si="87"/>
        <v>11</v>
      </c>
      <c r="W1638" s="96" t="s">
        <v>376</v>
      </c>
      <c r="X1638" t="s">
        <v>894</v>
      </c>
      <c r="Z1638" s="13">
        <v>11349</v>
      </c>
      <c r="AA1638" s="13">
        <f t="shared" si="85"/>
        <v>6215555</v>
      </c>
      <c r="AB1638" s="16"/>
      <c r="AD1638" s="15" t="e">
        <f t="shared" si="88"/>
        <v>#DIV/0!</v>
      </c>
      <c r="AE1638" s="43"/>
      <c r="AL1638" s="87" t="s">
        <v>819</v>
      </c>
      <c r="AM1638" s="86">
        <v>518339</v>
      </c>
    </row>
    <row r="1639" spans="13:39" hidden="1">
      <c r="M1639" s="131">
        <v>6877777</v>
      </c>
      <c r="N1639" s="223">
        <v>1738407</v>
      </c>
      <c r="O1639" s="132" t="s">
        <v>285</v>
      </c>
      <c r="P1639" s="132" t="s">
        <v>245</v>
      </c>
      <c r="Q1639" s="135" t="s">
        <v>349</v>
      </c>
      <c r="R1639" s="132" t="s">
        <v>34</v>
      </c>
      <c r="S1639" s="132" t="s">
        <v>34</v>
      </c>
      <c r="T1639" s="134">
        <v>42246</v>
      </c>
      <c r="U1639" s="172">
        <f t="shared" si="86"/>
        <v>2015</v>
      </c>
      <c r="V1639" s="172">
        <f t="shared" si="87"/>
        <v>8</v>
      </c>
      <c r="W1639" s="96" t="s">
        <v>348</v>
      </c>
      <c r="X1639" t="s">
        <v>894</v>
      </c>
      <c r="Z1639" s="13">
        <v>6377</v>
      </c>
      <c r="AA1639" s="13">
        <f t="shared" si="85"/>
        <v>6877777</v>
      </c>
      <c r="AB1639" s="16"/>
      <c r="AD1639" s="15" t="e">
        <f t="shared" si="88"/>
        <v>#DIV/0!</v>
      </c>
      <c r="AE1639" s="43"/>
      <c r="AF1639" s="15"/>
      <c r="AL1639" s="87" t="s">
        <v>819</v>
      </c>
      <c r="AM1639" s="86">
        <v>518339</v>
      </c>
    </row>
    <row r="1640" spans="13:39" hidden="1">
      <c r="M1640" s="131">
        <v>7126000</v>
      </c>
      <c r="N1640" s="223">
        <v>5129074</v>
      </c>
      <c r="O1640" s="132" t="s">
        <v>248</v>
      </c>
      <c r="P1640" s="132" t="s">
        <v>245</v>
      </c>
      <c r="Q1640" s="135" t="s">
        <v>258</v>
      </c>
      <c r="R1640" s="132" t="s">
        <v>353</v>
      </c>
      <c r="S1640" s="132" t="s">
        <v>34</v>
      </c>
      <c r="T1640" s="134">
        <v>42004</v>
      </c>
      <c r="U1640" s="172">
        <f t="shared" si="86"/>
        <v>2014</v>
      </c>
      <c r="V1640" s="172">
        <f t="shared" si="87"/>
        <v>12</v>
      </c>
      <c r="W1640" s="44" t="s">
        <v>354</v>
      </c>
      <c r="X1640" t="s">
        <v>892</v>
      </c>
      <c r="Y1640">
        <v>24</v>
      </c>
      <c r="Z1640" s="13">
        <v>2346</v>
      </c>
      <c r="AA1640" s="13">
        <f t="shared" si="85"/>
        <v>7126000</v>
      </c>
      <c r="AE1640" s="43"/>
      <c r="AL1640" s="87" t="s">
        <v>819</v>
      </c>
      <c r="AM1640" s="86">
        <v>518339</v>
      </c>
    </row>
    <row r="1641" spans="13:39" ht="30" hidden="1">
      <c r="M1641" s="131">
        <v>8004000</v>
      </c>
      <c r="N1641" s="223">
        <v>1338404</v>
      </c>
      <c r="O1641" s="132" t="s">
        <v>285</v>
      </c>
      <c r="P1641" s="132" t="s">
        <v>245</v>
      </c>
      <c r="Q1641" s="133">
        <v>69</v>
      </c>
      <c r="R1641" s="132" t="s">
        <v>334</v>
      </c>
      <c r="S1641" s="132" t="s">
        <v>34</v>
      </c>
      <c r="T1641" s="134">
        <v>42701</v>
      </c>
      <c r="U1641" s="172">
        <f t="shared" si="86"/>
        <v>2016</v>
      </c>
      <c r="V1641" s="172">
        <f t="shared" si="87"/>
        <v>11</v>
      </c>
      <c r="W1641" s="44" t="s">
        <v>335</v>
      </c>
      <c r="X1641" t="s">
        <v>894</v>
      </c>
      <c r="Z1641" s="13">
        <v>4492</v>
      </c>
      <c r="AA1641" s="13">
        <f t="shared" si="85"/>
        <v>8004000</v>
      </c>
      <c r="AE1641" s="43"/>
      <c r="AL1641" s="87" t="s">
        <v>819</v>
      </c>
      <c r="AM1641" s="86">
        <v>518398</v>
      </c>
    </row>
    <row r="1642" spans="13:39" hidden="1">
      <c r="M1642" s="131">
        <v>8411630</v>
      </c>
      <c r="N1642" s="223">
        <v>2088379</v>
      </c>
      <c r="O1642" s="132" t="s">
        <v>285</v>
      </c>
      <c r="P1642" s="132" t="s">
        <v>245</v>
      </c>
      <c r="Q1642" s="135" t="s">
        <v>350</v>
      </c>
      <c r="R1642" s="132" t="s">
        <v>34</v>
      </c>
      <c r="S1642" s="132" t="s">
        <v>34</v>
      </c>
      <c r="T1642" s="134">
        <v>42246</v>
      </c>
      <c r="U1642" s="172">
        <f t="shared" si="86"/>
        <v>2015</v>
      </c>
      <c r="V1642" s="172">
        <f t="shared" si="87"/>
        <v>8</v>
      </c>
      <c r="W1642" s="44" t="s">
        <v>348</v>
      </c>
      <c r="X1642" t="s">
        <v>894</v>
      </c>
      <c r="Z1642" s="13">
        <v>7660</v>
      </c>
      <c r="AA1642" s="13">
        <f t="shared" si="85"/>
        <v>8411630</v>
      </c>
      <c r="AE1642" s="43"/>
      <c r="AL1642" s="87" t="s">
        <v>819</v>
      </c>
      <c r="AM1642" s="86">
        <v>518429</v>
      </c>
    </row>
    <row r="1643" spans="13:39" hidden="1">
      <c r="M1643" s="131">
        <v>8581238</v>
      </c>
      <c r="N1643" s="223">
        <v>2114293</v>
      </c>
      <c r="O1643" s="132" t="s">
        <v>285</v>
      </c>
      <c r="P1643" s="132" t="s">
        <v>245</v>
      </c>
      <c r="Q1643" s="133">
        <v>66</v>
      </c>
      <c r="R1643" s="132" t="s">
        <v>34</v>
      </c>
      <c r="S1643" s="132" t="s">
        <v>34</v>
      </c>
      <c r="T1643" s="134">
        <v>42246</v>
      </c>
      <c r="U1643" s="172">
        <f t="shared" si="86"/>
        <v>2015</v>
      </c>
      <c r="V1643" s="172">
        <f t="shared" si="87"/>
        <v>8</v>
      </c>
      <c r="W1643" s="44" t="s">
        <v>348</v>
      </c>
      <c r="X1643" t="s">
        <v>894</v>
      </c>
      <c r="Z1643" s="13">
        <v>7756</v>
      </c>
      <c r="AA1643" s="13">
        <f t="shared" si="85"/>
        <v>8581238</v>
      </c>
      <c r="AE1643" s="43"/>
      <c r="AL1643" s="87" t="s">
        <v>819</v>
      </c>
      <c r="AM1643" s="86">
        <v>518429</v>
      </c>
    </row>
    <row r="1644" spans="13:39" hidden="1">
      <c r="M1644" s="131">
        <v>9005000</v>
      </c>
      <c r="N1644" s="223">
        <v>8913543</v>
      </c>
      <c r="O1644" s="132" t="s">
        <v>248</v>
      </c>
      <c r="P1644" s="132" t="s">
        <v>245</v>
      </c>
      <c r="Q1644" s="135" t="s">
        <v>372</v>
      </c>
      <c r="R1644" s="132" t="s">
        <v>353</v>
      </c>
      <c r="S1644" s="132" t="s">
        <v>34</v>
      </c>
      <c r="T1644" s="134">
        <v>42004</v>
      </c>
      <c r="U1644" s="172">
        <f t="shared" si="86"/>
        <v>2014</v>
      </c>
      <c r="V1644" s="172">
        <f t="shared" si="87"/>
        <v>12</v>
      </c>
      <c r="W1644" s="44" t="s">
        <v>354</v>
      </c>
      <c r="X1644" t="s">
        <v>892</v>
      </c>
      <c r="Y1644">
        <v>48</v>
      </c>
      <c r="Z1644" s="13">
        <v>3060</v>
      </c>
      <c r="AA1644" s="13">
        <f t="shared" si="85"/>
        <v>9005000</v>
      </c>
      <c r="AE1644" s="43"/>
      <c r="AL1644" s="87" t="s">
        <v>819</v>
      </c>
      <c r="AM1644" s="86">
        <v>518440</v>
      </c>
    </row>
    <row r="1645" spans="13:39" hidden="1">
      <c r="M1645" s="131">
        <v>9390000</v>
      </c>
      <c r="N1645" s="223">
        <v>6782655</v>
      </c>
      <c r="O1645" s="132" t="s">
        <v>248</v>
      </c>
      <c r="P1645" s="132" t="s">
        <v>245</v>
      </c>
      <c r="Q1645" s="135" t="s">
        <v>262</v>
      </c>
      <c r="R1645" s="132" t="s">
        <v>353</v>
      </c>
      <c r="S1645" s="132" t="s">
        <v>34</v>
      </c>
      <c r="T1645" s="134">
        <v>42004</v>
      </c>
      <c r="U1645" s="172">
        <f t="shared" si="86"/>
        <v>2014</v>
      </c>
      <c r="V1645" s="172">
        <f t="shared" si="87"/>
        <v>12</v>
      </c>
      <c r="W1645" s="44" t="s">
        <v>354</v>
      </c>
      <c r="X1645" t="s">
        <v>892</v>
      </c>
      <c r="Y1645">
        <v>30</v>
      </c>
      <c r="Z1645" s="13">
        <v>3411</v>
      </c>
      <c r="AA1645" s="13">
        <f t="shared" si="85"/>
        <v>9390000</v>
      </c>
      <c r="AE1645" s="43"/>
      <c r="AL1645" s="87" t="s">
        <v>819</v>
      </c>
      <c r="AM1645" s="86">
        <v>518440</v>
      </c>
    </row>
    <row r="1646" spans="13:39" ht="30" hidden="1">
      <c r="M1646" s="131">
        <v>9809218</v>
      </c>
      <c r="N1646" s="223">
        <v>2126718</v>
      </c>
      <c r="O1646" s="132" t="s">
        <v>285</v>
      </c>
      <c r="P1646" s="132" t="s">
        <v>245</v>
      </c>
      <c r="Q1646" s="133">
        <v>67</v>
      </c>
      <c r="R1646" s="132" t="s">
        <v>334</v>
      </c>
      <c r="S1646" s="132" t="s">
        <v>34</v>
      </c>
      <c r="T1646" s="134">
        <v>42701</v>
      </c>
      <c r="U1646" s="172">
        <f t="shared" si="86"/>
        <v>2016</v>
      </c>
      <c r="V1646" s="172">
        <f t="shared" si="87"/>
        <v>11</v>
      </c>
      <c r="W1646" s="44" t="s">
        <v>335</v>
      </c>
      <c r="X1646" t="s">
        <v>894</v>
      </c>
      <c r="Z1646" s="13">
        <v>7138</v>
      </c>
      <c r="AA1646" s="13">
        <f t="shared" si="85"/>
        <v>9809218</v>
      </c>
      <c r="AE1646" s="43"/>
      <c r="AL1646" s="87" t="s">
        <v>819</v>
      </c>
      <c r="AM1646" s="86">
        <v>518440</v>
      </c>
    </row>
    <row r="1647" spans="13:39" hidden="1">
      <c r="M1647" s="131">
        <v>9840000</v>
      </c>
      <c r="N1647" s="223">
        <v>5042006</v>
      </c>
      <c r="O1647" s="132" t="s">
        <v>248</v>
      </c>
      <c r="P1647" s="132" t="s">
        <v>245</v>
      </c>
      <c r="Q1647" s="135" t="s">
        <v>254</v>
      </c>
      <c r="R1647" s="132" t="s">
        <v>353</v>
      </c>
      <c r="S1647" s="132" t="s">
        <v>34</v>
      </c>
      <c r="T1647" s="134">
        <v>42004</v>
      </c>
      <c r="U1647" s="172">
        <f t="shared" si="86"/>
        <v>2014</v>
      </c>
      <c r="V1647" s="172">
        <f t="shared" si="87"/>
        <v>12</v>
      </c>
      <c r="W1647" s="44" t="s">
        <v>354</v>
      </c>
      <c r="X1647" t="s">
        <v>892</v>
      </c>
      <c r="Y1647">
        <v>24</v>
      </c>
      <c r="Z1647" s="13">
        <v>2227</v>
      </c>
      <c r="AA1647" s="13">
        <f t="shared" si="85"/>
        <v>9840000</v>
      </c>
      <c r="AE1647" s="43"/>
      <c r="AL1647" s="87" t="s">
        <v>819</v>
      </c>
      <c r="AM1647" s="86">
        <v>518440</v>
      </c>
    </row>
    <row r="1648" spans="13:39" hidden="1">
      <c r="M1648" s="131">
        <v>9910018</v>
      </c>
      <c r="N1648" s="223">
        <v>9930351</v>
      </c>
      <c r="O1648" s="132" t="s">
        <v>248</v>
      </c>
      <c r="P1648" s="132" t="s">
        <v>245</v>
      </c>
      <c r="Q1648" s="135" t="s">
        <v>365</v>
      </c>
      <c r="R1648" s="132" t="s">
        <v>353</v>
      </c>
      <c r="S1648" s="132" t="s">
        <v>34</v>
      </c>
      <c r="T1648" s="134">
        <v>42004</v>
      </c>
      <c r="U1648" s="172">
        <f t="shared" si="86"/>
        <v>2014</v>
      </c>
      <c r="V1648" s="172">
        <f t="shared" si="87"/>
        <v>12</v>
      </c>
      <c r="W1648" s="44" t="s">
        <v>354</v>
      </c>
      <c r="X1648" t="s">
        <v>892</v>
      </c>
      <c r="Y1648">
        <v>46</v>
      </c>
      <c r="Z1648" s="13">
        <v>5198</v>
      </c>
      <c r="AA1648" s="13">
        <f t="shared" si="85"/>
        <v>9910018</v>
      </c>
      <c r="AE1648" s="43"/>
      <c r="AL1648" s="87" t="s">
        <v>819</v>
      </c>
      <c r="AM1648" s="86">
        <v>518440</v>
      </c>
    </row>
    <row r="1649" spans="13:39" ht="30" hidden="1">
      <c r="M1649" s="131">
        <v>10450296</v>
      </c>
      <c r="N1649" s="223">
        <v>8701063</v>
      </c>
      <c r="O1649" s="132" t="s">
        <v>294</v>
      </c>
      <c r="P1649" s="132" t="s">
        <v>245</v>
      </c>
      <c r="Q1649" s="133">
        <v>107</v>
      </c>
      <c r="R1649" s="132" t="s">
        <v>346</v>
      </c>
      <c r="S1649" s="132" t="s">
        <v>34</v>
      </c>
      <c r="T1649" s="134">
        <v>42303</v>
      </c>
      <c r="U1649" s="172">
        <f t="shared" si="86"/>
        <v>2015</v>
      </c>
      <c r="V1649" s="172">
        <f t="shared" si="87"/>
        <v>10</v>
      </c>
      <c r="W1649" s="44" t="s">
        <v>347</v>
      </c>
      <c r="X1649" t="s">
        <v>892</v>
      </c>
      <c r="Z1649" s="13">
        <v>3738</v>
      </c>
      <c r="AA1649" s="13">
        <f t="shared" si="85"/>
        <v>10450296</v>
      </c>
      <c r="AE1649" s="43"/>
      <c r="AL1649" s="87" t="s">
        <v>819</v>
      </c>
      <c r="AM1649" s="86">
        <v>518440</v>
      </c>
    </row>
    <row r="1650" spans="13:39" hidden="1">
      <c r="M1650" s="131">
        <v>10665000</v>
      </c>
      <c r="N1650" s="223">
        <v>9794988</v>
      </c>
      <c r="O1650" s="132" t="s">
        <v>248</v>
      </c>
      <c r="P1650" s="132" t="s">
        <v>245</v>
      </c>
      <c r="Q1650" s="135" t="s">
        <v>364</v>
      </c>
      <c r="R1650" s="132" t="s">
        <v>353</v>
      </c>
      <c r="S1650" s="132" t="s">
        <v>34</v>
      </c>
      <c r="T1650" s="134">
        <v>42004</v>
      </c>
      <c r="U1650" s="172">
        <f t="shared" si="86"/>
        <v>2014</v>
      </c>
      <c r="V1650" s="172">
        <f t="shared" si="87"/>
        <v>12</v>
      </c>
      <c r="W1650" s="44" t="s">
        <v>354</v>
      </c>
      <c r="X1650" t="s">
        <v>892</v>
      </c>
      <c r="Y1650">
        <v>44</v>
      </c>
      <c r="Z1650" s="13">
        <v>5361</v>
      </c>
      <c r="AA1650" s="13">
        <f t="shared" si="85"/>
        <v>10665000</v>
      </c>
      <c r="AE1650" s="43"/>
      <c r="AL1650" s="87" t="s">
        <v>819</v>
      </c>
      <c r="AM1650" s="86">
        <v>518440</v>
      </c>
    </row>
    <row r="1651" spans="13:39" hidden="1">
      <c r="M1651" s="131">
        <v>10703000</v>
      </c>
      <c r="N1651" s="223">
        <v>12817427</v>
      </c>
      <c r="O1651" s="132" t="s">
        <v>248</v>
      </c>
      <c r="P1651" s="132" t="s">
        <v>245</v>
      </c>
      <c r="Q1651" s="135" t="s">
        <v>363</v>
      </c>
      <c r="R1651" s="132" t="s">
        <v>353</v>
      </c>
      <c r="S1651" s="132" t="s">
        <v>34</v>
      </c>
      <c r="T1651" s="134">
        <v>42004</v>
      </c>
      <c r="U1651" s="172">
        <f t="shared" si="86"/>
        <v>2014</v>
      </c>
      <c r="V1651" s="172">
        <f t="shared" si="87"/>
        <v>12</v>
      </c>
      <c r="W1651" s="44" t="s">
        <v>354</v>
      </c>
      <c r="X1651" t="s">
        <v>892</v>
      </c>
      <c r="Y1651">
        <v>56</v>
      </c>
      <c r="Z1651" s="13">
        <v>7298</v>
      </c>
      <c r="AA1651" s="13">
        <f t="shared" si="85"/>
        <v>10703000</v>
      </c>
      <c r="AE1651" s="43"/>
      <c r="AL1651" s="87" t="s">
        <v>819</v>
      </c>
      <c r="AM1651" s="86">
        <v>518440</v>
      </c>
    </row>
    <row r="1652" spans="13:39" hidden="1">
      <c r="M1652" s="131">
        <v>10900000</v>
      </c>
      <c r="N1652" s="223">
        <v>8112347</v>
      </c>
      <c r="O1652" s="132" t="s">
        <v>248</v>
      </c>
      <c r="P1652" s="132" t="s">
        <v>245</v>
      </c>
      <c r="Q1652" s="135" t="s">
        <v>259</v>
      </c>
      <c r="R1652" s="132" t="s">
        <v>353</v>
      </c>
      <c r="S1652" s="132" t="s">
        <v>34</v>
      </c>
      <c r="T1652" s="134">
        <v>42004</v>
      </c>
      <c r="U1652" s="172">
        <f t="shared" si="86"/>
        <v>2014</v>
      </c>
      <c r="V1652" s="172">
        <f t="shared" si="87"/>
        <v>12</v>
      </c>
      <c r="W1652" s="44" t="s">
        <v>354</v>
      </c>
      <c r="X1652" t="s">
        <v>892</v>
      </c>
      <c r="Y1652">
        <v>34</v>
      </c>
      <c r="Z1652" s="13">
        <v>4451</v>
      </c>
      <c r="AA1652" s="13">
        <f t="shared" si="85"/>
        <v>10900000</v>
      </c>
      <c r="AE1652" s="43"/>
      <c r="AL1652" s="87" t="s">
        <v>819</v>
      </c>
      <c r="AM1652" s="86">
        <v>518440</v>
      </c>
    </row>
    <row r="1653" spans="13:39" hidden="1">
      <c r="M1653" s="131">
        <v>11353805</v>
      </c>
      <c r="N1653" s="223">
        <v>3011183</v>
      </c>
      <c r="O1653" s="132" t="s">
        <v>285</v>
      </c>
      <c r="P1653" s="132" t="s">
        <v>245</v>
      </c>
      <c r="Q1653" s="133">
        <v>71</v>
      </c>
      <c r="R1653" s="132" t="s">
        <v>34</v>
      </c>
      <c r="S1653" s="132" t="s">
        <v>34</v>
      </c>
      <c r="T1653" s="134">
        <v>42246</v>
      </c>
      <c r="U1653" s="172">
        <f t="shared" si="86"/>
        <v>2015</v>
      </c>
      <c r="V1653" s="172">
        <f t="shared" si="87"/>
        <v>8</v>
      </c>
      <c r="W1653" s="44" t="s">
        <v>348</v>
      </c>
      <c r="X1653" t="s">
        <v>894</v>
      </c>
      <c r="Z1653" s="13">
        <v>11050</v>
      </c>
      <c r="AA1653" s="13">
        <f t="shared" si="85"/>
        <v>11353805</v>
      </c>
      <c r="AE1653" s="43"/>
      <c r="AL1653" s="87" t="s">
        <v>819</v>
      </c>
      <c r="AM1653" s="86">
        <v>518440</v>
      </c>
    </row>
    <row r="1654" spans="13:39" hidden="1">
      <c r="M1654" s="131">
        <v>12160416</v>
      </c>
      <c r="N1654" s="223">
        <v>8972077</v>
      </c>
      <c r="O1654" s="132" t="s">
        <v>248</v>
      </c>
      <c r="P1654" s="132" t="s">
        <v>245</v>
      </c>
      <c r="Q1654" s="135" t="s">
        <v>373</v>
      </c>
      <c r="R1654" s="132" t="s">
        <v>353</v>
      </c>
      <c r="S1654" s="132" t="s">
        <v>34</v>
      </c>
      <c r="T1654" s="134">
        <v>42004</v>
      </c>
      <c r="U1654" s="172">
        <f t="shared" si="86"/>
        <v>2014</v>
      </c>
      <c r="V1654" s="172">
        <f t="shared" si="87"/>
        <v>12</v>
      </c>
      <c r="W1654" s="44" t="s">
        <v>354</v>
      </c>
      <c r="X1654" t="s">
        <v>892</v>
      </c>
      <c r="Y1654">
        <v>48</v>
      </c>
      <c r="Z1654" s="13">
        <v>3140</v>
      </c>
      <c r="AA1654" s="13">
        <f t="shared" si="85"/>
        <v>12160416</v>
      </c>
      <c r="AE1654" s="43"/>
      <c r="AL1654" s="87" t="s">
        <v>819</v>
      </c>
      <c r="AM1654" s="86">
        <v>518440</v>
      </c>
    </row>
    <row r="1655" spans="13:39" hidden="1">
      <c r="M1655" s="131">
        <v>13077777</v>
      </c>
      <c r="N1655" s="223">
        <v>12130082</v>
      </c>
      <c r="O1655" s="132" t="s">
        <v>248</v>
      </c>
      <c r="P1655" s="132" t="s">
        <v>245</v>
      </c>
      <c r="Q1655" s="135" t="s">
        <v>370</v>
      </c>
      <c r="R1655" s="132" t="s">
        <v>353</v>
      </c>
      <c r="S1655" s="132" t="s">
        <v>34</v>
      </c>
      <c r="T1655" s="134">
        <v>42004</v>
      </c>
      <c r="U1655" s="172">
        <f t="shared" si="86"/>
        <v>2014</v>
      </c>
      <c r="V1655" s="172">
        <f t="shared" si="87"/>
        <v>12</v>
      </c>
      <c r="W1655" s="44" t="s">
        <v>354</v>
      </c>
      <c r="X1655" t="s">
        <v>892</v>
      </c>
      <c r="Y1655">
        <v>54</v>
      </c>
      <c r="Z1655" s="13">
        <v>6734</v>
      </c>
      <c r="AA1655" s="13">
        <f t="shared" si="85"/>
        <v>13077777</v>
      </c>
      <c r="AE1655" s="43"/>
      <c r="AL1655" s="87" t="s">
        <v>819</v>
      </c>
      <c r="AM1655" s="86">
        <v>518440</v>
      </c>
    </row>
    <row r="1656" spans="13:39" hidden="1">
      <c r="M1656" s="131">
        <v>13799999</v>
      </c>
      <c r="N1656" s="223">
        <v>3303873</v>
      </c>
      <c r="O1656" s="132" t="s">
        <v>285</v>
      </c>
      <c r="P1656" s="132" t="s">
        <v>245</v>
      </c>
      <c r="Q1656" s="133">
        <v>65</v>
      </c>
      <c r="R1656" s="132" t="s">
        <v>34</v>
      </c>
      <c r="S1656" s="132" t="s">
        <v>34</v>
      </c>
      <c r="T1656" s="134">
        <v>42246</v>
      </c>
      <c r="U1656" s="172">
        <f t="shared" si="86"/>
        <v>2015</v>
      </c>
      <c r="V1656" s="172">
        <f t="shared" si="87"/>
        <v>8</v>
      </c>
      <c r="W1656" s="44" t="s">
        <v>348</v>
      </c>
      <c r="X1656" t="s">
        <v>894</v>
      </c>
      <c r="Z1656" s="13">
        <v>12124</v>
      </c>
      <c r="AA1656" s="13">
        <f t="shared" si="85"/>
        <v>13799999</v>
      </c>
      <c r="AE1656" s="43"/>
      <c r="AL1656" s="87" t="s">
        <v>819</v>
      </c>
      <c r="AM1656" s="86">
        <v>518440</v>
      </c>
    </row>
    <row r="1657" spans="13:39" hidden="1">
      <c r="M1657" s="131">
        <v>14000018</v>
      </c>
      <c r="N1657" s="223">
        <v>15291148</v>
      </c>
      <c r="O1657" s="132" t="s">
        <v>248</v>
      </c>
      <c r="P1657" s="132" t="s">
        <v>245</v>
      </c>
      <c r="Q1657" s="135" t="s">
        <v>369</v>
      </c>
      <c r="R1657" s="132" t="s">
        <v>353</v>
      </c>
      <c r="S1657" s="132" t="s">
        <v>34</v>
      </c>
      <c r="T1657" s="134">
        <v>42004</v>
      </c>
      <c r="U1657" s="172">
        <f t="shared" si="86"/>
        <v>2014</v>
      </c>
      <c r="V1657" s="172">
        <f t="shared" si="87"/>
        <v>12</v>
      </c>
      <c r="W1657" s="44" t="s">
        <v>354</v>
      </c>
      <c r="X1657" t="s">
        <v>892</v>
      </c>
      <c r="Y1657">
        <v>62</v>
      </c>
      <c r="Z1657" s="13">
        <v>9583</v>
      </c>
      <c r="AA1657" s="13">
        <f t="shared" si="85"/>
        <v>14000018</v>
      </c>
      <c r="AE1657" s="43"/>
      <c r="AL1657" s="87" t="s">
        <v>819</v>
      </c>
      <c r="AM1657" s="86">
        <v>518440</v>
      </c>
    </row>
    <row r="1658" spans="13:39" ht="30" hidden="1">
      <c r="M1658" s="131">
        <v>14321580</v>
      </c>
      <c r="N1658" s="223">
        <v>10929546</v>
      </c>
      <c r="O1658" s="132" t="s">
        <v>294</v>
      </c>
      <c r="P1658" s="132" t="s">
        <v>245</v>
      </c>
      <c r="Q1658" s="133">
        <v>106</v>
      </c>
      <c r="R1658" s="132" t="s">
        <v>346</v>
      </c>
      <c r="S1658" s="132" t="s">
        <v>34</v>
      </c>
      <c r="T1658" s="134">
        <v>42303</v>
      </c>
      <c r="U1658" s="172">
        <f t="shared" si="86"/>
        <v>2015</v>
      </c>
      <c r="V1658" s="172">
        <f t="shared" si="87"/>
        <v>10</v>
      </c>
      <c r="W1658" s="44" t="s">
        <v>347</v>
      </c>
      <c r="X1658" t="s">
        <v>892</v>
      </c>
      <c r="Z1658" s="13">
        <v>4491</v>
      </c>
      <c r="AA1658" s="13">
        <f t="shared" si="85"/>
        <v>14321580</v>
      </c>
      <c r="AE1658" s="43"/>
      <c r="AL1658" s="87" t="s">
        <v>819</v>
      </c>
      <c r="AM1658" s="86">
        <v>518440</v>
      </c>
    </row>
    <row r="1659" spans="13:39" hidden="1">
      <c r="M1659" s="131">
        <v>15100000</v>
      </c>
      <c r="N1659" s="223">
        <v>25672630</v>
      </c>
      <c r="O1659" s="132" t="s">
        <v>338</v>
      </c>
      <c r="P1659" s="132" t="s">
        <v>245</v>
      </c>
      <c r="Q1659" s="133">
        <v>102</v>
      </c>
      <c r="R1659" s="132" t="s">
        <v>34</v>
      </c>
      <c r="S1659" s="132" t="s">
        <v>34</v>
      </c>
      <c r="T1659" s="134">
        <v>42368</v>
      </c>
      <c r="U1659" s="172">
        <f t="shared" si="86"/>
        <v>2015</v>
      </c>
      <c r="V1659" s="172">
        <f t="shared" si="87"/>
        <v>12</v>
      </c>
      <c r="W1659" s="44" t="s">
        <v>345</v>
      </c>
      <c r="X1659" t="s">
        <v>892</v>
      </c>
      <c r="Y1659">
        <v>220</v>
      </c>
      <c r="Z1659" s="13">
        <v>4780</v>
      </c>
      <c r="AA1659" s="13">
        <f t="shared" si="85"/>
        <v>15100000</v>
      </c>
      <c r="AE1659" s="43"/>
      <c r="AL1659" s="87" t="s">
        <v>819</v>
      </c>
      <c r="AM1659" s="86">
        <v>518440</v>
      </c>
    </row>
    <row r="1660" spans="13:39" ht="30" hidden="1">
      <c r="M1660" s="131">
        <v>15259555</v>
      </c>
      <c r="N1660" s="223">
        <v>2593922</v>
      </c>
      <c r="O1660" s="132" t="s">
        <v>285</v>
      </c>
      <c r="P1660" s="132" t="s">
        <v>245</v>
      </c>
      <c r="Q1660" s="135" t="s">
        <v>337</v>
      </c>
      <c r="R1660" s="132" t="s">
        <v>334</v>
      </c>
      <c r="S1660" s="132" t="s">
        <v>34</v>
      </c>
      <c r="T1660" s="134">
        <v>42701</v>
      </c>
      <c r="U1660" s="172">
        <f t="shared" si="86"/>
        <v>2016</v>
      </c>
      <c r="V1660" s="172">
        <f t="shared" si="87"/>
        <v>11</v>
      </c>
      <c r="W1660" s="44" t="s">
        <v>335</v>
      </c>
      <c r="X1660" t="s">
        <v>894</v>
      </c>
      <c r="Z1660" s="13">
        <v>8709</v>
      </c>
      <c r="AA1660" s="13">
        <f t="shared" si="85"/>
        <v>15259555</v>
      </c>
      <c r="AE1660" s="43"/>
      <c r="AL1660" s="87" t="s">
        <v>819</v>
      </c>
      <c r="AM1660" s="86">
        <v>518440</v>
      </c>
    </row>
    <row r="1661" spans="13:39" hidden="1">
      <c r="M1661" s="131">
        <v>15450000</v>
      </c>
      <c r="N1661" s="223">
        <v>15410571</v>
      </c>
      <c r="O1661" s="132" t="s">
        <v>248</v>
      </c>
      <c r="P1661" s="132" t="s">
        <v>245</v>
      </c>
      <c r="Q1661" s="133">
        <v>38084</v>
      </c>
      <c r="R1661" s="132" t="s">
        <v>333</v>
      </c>
      <c r="S1661" s="132" t="s">
        <v>34</v>
      </c>
      <c r="T1661" s="134">
        <v>42190</v>
      </c>
      <c r="U1661" s="172">
        <f t="shared" si="86"/>
        <v>2015</v>
      </c>
      <c r="V1661" s="172">
        <f t="shared" si="87"/>
        <v>7</v>
      </c>
      <c r="W1661" s="44" t="s">
        <v>351</v>
      </c>
      <c r="X1661" t="s">
        <v>892</v>
      </c>
      <c r="Y1661">
        <v>69</v>
      </c>
      <c r="Z1661" s="13">
        <v>8032</v>
      </c>
      <c r="AA1661" s="13">
        <f t="shared" si="85"/>
        <v>15450000</v>
      </c>
      <c r="AE1661" s="43"/>
      <c r="AL1661" s="87" t="s">
        <v>819</v>
      </c>
      <c r="AM1661" s="86">
        <v>518440</v>
      </c>
    </row>
    <row r="1662" spans="13:39" hidden="1">
      <c r="M1662" s="131">
        <v>15508542</v>
      </c>
      <c r="N1662" s="223">
        <v>12162356</v>
      </c>
      <c r="O1662" s="132" t="s">
        <v>248</v>
      </c>
      <c r="P1662" s="132" t="s">
        <v>245</v>
      </c>
      <c r="Q1662" s="135" t="s">
        <v>362</v>
      </c>
      <c r="R1662" s="132" t="s">
        <v>353</v>
      </c>
      <c r="S1662" s="132" t="s">
        <v>34</v>
      </c>
      <c r="T1662" s="134">
        <v>42004</v>
      </c>
      <c r="U1662" s="172">
        <f t="shared" si="86"/>
        <v>2014</v>
      </c>
      <c r="V1662" s="172">
        <f t="shared" si="87"/>
        <v>12</v>
      </c>
      <c r="W1662" s="44" t="s">
        <v>354</v>
      </c>
      <c r="X1662" t="s">
        <v>892</v>
      </c>
      <c r="Y1662">
        <v>60</v>
      </c>
      <c r="Z1662" s="13">
        <v>5709</v>
      </c>
      <c r="AA1662" s="13">
        <f t="shared" si="85"/>
        <v>15508542</v>
      </c>
      <c r="AE1662" s="43"/>
      <c r="AL1662" s="87" t="s">
        <v>819</v>
      </c>
      <c r="AM1662" s="86">
        <v>518440</v>
      </c>
    </row>
    <row r="1663" spans="13:39" hidden="1">
      <c r="M1663" s="131">
        <v>15555555</v>
      </c>
      <c r="N1663" s="223">
        <v>10307379</v>
      </c>
      <c r="O1663" s="132" t="s">
        <v>248</v>
      </c>
      <c r="P1663" s="132" t="s">
        <v>245</v>
      </c>
      <c r="Q1663" s="133">
        <v>3</v>
      </c>
      <c r="R1663" s="132" t="s">
        <v>333</v>
      </c>
      <c r="S1663" s="132" t="s">
        <v>34</v>
      </c>
      <c r="T1663" s="134">
        <v>42092</v>
      </c>
      <c r="U1663" s="172">
        <f t="shared" si="86"/>
        <v>2015</v>
      </c>
      <c r="V1663" s="172">
        <f t="shared" si="87"/>
        <v>3</v>
      </c>
      <c r="W1663" s="44" t="s">
        <v>352</v>
      </c>
      <c r="X1663" t="s">
        <v>892</v>
      </c>
      <c r="Y1663">
        <v>44</v>
      </c>
      <c r="Z1663" s="13">
        <v>3859</v>
      </c>
      <c r="AA1663" s="13">
        <f t="shared" si="85"/>
        <v>15555555</v>
      </c>
      <c r="AE1663" s="43"/>
      <c r="AL1663" s="87" t="s">
        <v>819</v>
      </c>
      <c r="AM1663" s="86">
        <v>518445</v>
      </c>
    </row>
    <row r="1664" spans="13:39" hidden="1">
      <c r="M1664" s="131">
        <v>15845000</v>
      </c>
      <c r="N1664" s="223">
        <v>11979441</v>
      </c>
      <c r="O1664" s="132" t="s">
        <v>248</v>
      </c>
      <c r="P1664" s="132" t="s">
        <v>245</v>
      </c>
      <c r="Q1664" s="135" t="s">
        <v>361</v>
      </c>
      <c r="R1664" s="132" t="s">
        <v>353</v>
      </c>
      <c r="S1664" s="132" t="s">
        <v>34</v>
      </c>
      <c r="T1664" s="134">
        <v>42004</v>
      </c>
      <c r="U1664" s="172">
        <f t="shared" si="86"/>
        <v>2014</v>
      </c>
      <c r="V1664" s="172">
        <f t="shared" si="87"/>
        <v>12</v>
      </c>
      <c r="W1664" s="44" t="s">
        <v>354</v>
      </c>
      <c r="X1664" t="s">
        <v>892</v>
      </c>
      <c r="Y1664">
        <v>60</v>
      </c>
      <c r="Z1664" s="13">
        <v>5459</v>
      </c>
      <c r="AA1664" s="13">
        <f t="shared" si="85"/>
        <v>15845000</v>
      </c>
      <c r="AE1664" s="43"/>
      <c r="AL1664" s="87" t="s">
        <v>819</v>
      </c>
      <c r="AM1664" s="86">
        <v>518445</v>
      </c>
    </row>
    <row r="1665" spans="13:39" hidden="1">
      <c r="M1665" s="131">
        <v>16064444</v>
      </c>
      <c r="N1665" s="223">
        <v>18161751</v>
      </c>
      <c r="O1665" s="132" t="s">
        <v>338</v>
      </c>
      <c r="P1665" s="132" t="s">
        <v>245</v>
      </c>
      <c r="Q1665" s="133">
        <v>20762</v>
      </c>
      <c r="R1665" s="132" t="s">
        <v>341</v>
      </c>
      <c r="S1665" s="132" t="s">
        <v>34</v>
      </c>
      <c r="T1665" s="134">
        <v>42512</v>
      </c>
      <c r="U1665" s="172">
        <f t="shared" si="86"/>
        <v>2016</v>
      </c>
      <c r="V1665" s="172">
        <f t="shared" si="87"/>
        <v>5</v>
      </c>
      <c r="W1665" s="44" t="s">
        <v>342</v>
      </c>
      <c r="X1665" t="s">
        <v>894</v>
      </c>
      <c r="Z1665" s="13"/>
      <c r="AA1665" s="13">
        <f t="shared" si="85"/>
        <v>16064444</v>
      </c>
      <c r="AE1665" s="43"/>
      <c r="AL1665" s="87" t="s">
        <v>819</v>
      </c>
      <c r="AM1665" s="86">
        <v>518608</v>
      </c>
    </row>
    <row r="1666" spans="13:39" hidden="1">
      <c r="M1666" s="131">
        <v>16400000</v>
      </c>
      <c r="N1666" s="223">
        <v>7163293</v>
      </c>
      <c r="O1666" s="132" t="s">
        <v>285</v>
      </c>
      <c r="P1666" s="132" t="s">
        <v>245</v>
      </c>
      <c r="Q1666" s="133">
        <v>13</v>
      </c>
      <c r="R1666" s="132" t="s">
        <v>34</v>
      </c>
      <c r="S1666" s="132" t="s">
        <v>34</v>
      </c>
      <c r="T1666" s="134">
        <v>41945</v>
      </c>
      <c r="U1666" s="172">
        <f t="shared" si="86"/>
        <v>2014</v>
      </c>
      <c r="V1666" s="172">
        <f t="shared" si="87"/>
        <v>11</v>
      </c>
      <c r="W1666" s="44" t="s">
        <v>376</v>
      </c>
      <c r="X1666" t="s">
        <v>894</v>
      </c>
      <c r="Z1666" s="13">
        <v>26513</v>
      </c>
      <c r="AA1666" s="13">
        <f t="shared" si="85"/>
        <v>16400000</v>
      </c>
      <c r="AE1666" s="43"/>
      <c r="AL1666" s="87" t="s">
        <v>819</v>
      </c>
      <c r="AM1666" s="86">
        <v>518608</v>
      </c>
    </row>
    <row r="1667" spans="13:39" ht="30" hidden="1">
      <c r="M1667" s="131">
        <v>17255555</v>
      </c>
      <c r="N1667" s="223">
        <v>13924295</v>
      </c>
      <c r="O1667" s="132" t="s">
        <v>294</v>
      </c>
      <c r="P1667" s="132" t="s">
        <v>245</v>
      </c>
      <c r="Q1667" s="133">
        <v>105</v>
      </c>
      <c r="R1667" s="132" t="s">
        <v>346</v>
      </c>
      <c r="S1667" s="132" t="s">
        <v>34</v>
      </c>
      <c r="T1667" s="134">
        <v>42303</v>
      </c>
      <c r="U1667" s="172">
        <f t="shared" si="86"/>
        <v>2015</v>
      </c>
      <c r="V1667" s="172">
        <f t="shared" si="87"/>
        <v>10</v>
      </c>
      <c r="W1667" s="44" t="s">
        <v>347</v>
      </c>
      <c r="X1667" t="s">
        <v>892</v>
      </c>
      <c r="Z1667" s="13">
        <v>5590</v>
      </c>
      <c r="AA1667" s="13">
        <f t="shared" si="85"/>
        <v>17255555</v>
      </c>
      <c r="AE1667" s="43"/>
      <c r="AL1667" s="87" t="s">
        <v>819</v>
      </c>
      <c r="AM1667" s="86">
        <v>518748</v>
      </c>
    </row>
    <row r="1668" spans="13:39" hidden="1">
      <c r="M1668" s="131">
        <v>18888052</v>
      </c>
      <c r="N1668" s="223">
        <v>12450904</v>
      </c>
      <c r="O1668" s="132" t="s">
        <v>338</v>
      </c>
      <c r="P1668" s="132" t="s">
        <v>245</v>
      </c>
      <c r="Q1668" s="135" t="s">
        <v>339</v>
      </c>
      <c r="R1668" s="132" t="s">
        <v>34</v>
      </c>
      <c r="S1668" s="132" t="s">
        <v>34</v>
      </c>
      <c r="T1668" s="134">
        <v>42701</v>
      </c>
      <c r="U1668" s="172">
        <f t="shared" si="86"/>
        <v>2016</v>
      </c>
      <c r="V1668" s="172">
        <f t="shared" si="87"/>
        <v>11</v>
      </c>
      <c r="W1668" s="44" t="s">
        <v>340</v>
      </c>
      <c r="X1668" t="s">
        <v>892</v>
      </c>
      <c r="Y1668">
        <v>120</v>
      </c>
      <c r="Z1668" s="13">
        <v>2496</v>
      </c>
      <c r="AA1668" s="13">
        <f t="shared" ref="AA1668:AA1731" si="89">IF(M1668&lt;30000,Y1668*100*M1668*(1-$L$1)-$L$2*Y1668,M1668)</f>
        <v>18888052</v>
      </c>
      <c r="AE1668" s="43"/>
      <c r="AL1668" s="87" t="s">
        <v>819</v>
      </c>
      <c r="AM1668" s="86">
        <v>518845</v>
      </c>
    </row>
    <row r="1669" spans="13:39" ht="30" hidden="1">
      <c r="M1669" s="131">
        <v>19888800</v>
      </c>
      <c r="N1669" s="223">
        <v>9623771</v>
      </c>
      <c r="O1669" s="132" t="s">
        <v>294</v>
      </c>
      <c r="P1669" s="132" t="s">
        <v>245</v>
      </c>
      <c r="Q1669" s="133">
        <v>108</v>
      </c>
      <c r="R1669" s="132" t="s">
        <v>346</v>
      </c>
      <c r="S1669" s="132" t="s">
        <v>34</v>
      </c>
      <c r="T1669" s="134">
        <v>42303</v>
      </c>
      <c r="U1669" s="172">
        <f t="shared" si="86"/>
        <v>2015</v>
      </c>
      <c r="V1669" s="172">
        <f t="shared" si="87"/>
        <v>10</v>
      </c>
      <c r="W1669" s="44" t="s">
        <v>347</v>
      </c>
      <c r="X1669" t="s">
        <v>892</v>
      </c>
      <c r="Z1669" s="13">
        <v>4851</v>
      </c>
      <c r="AA1669" s="13">
        <f t="shared" si="89"/>
        <v>19888800</v>
      </c>
      <c r="AE1669" s="43"/>
      <c r="AL1669" s="87" t="s">
        <v>819</v>
      </c>
      <c r="AM1669" s="86">
        <v>519015</v>
      </c>
    </row>
    <row r="1670" spans="13:39" ht="30" hidden="1">
      <c r="M1670" s="131">
        <v>19969555</v>
      </c>
      <c r="N1670" s="223">
        <v>3394461</v>
      </c>
      <c r="O1670" s="132" t="s">
        <v>285</v>
      </c>
      <c r="P1670" s="132" t="s">
        <v>245</v>
      </c>
      <c r="Q1670" s="135" t="s">
        <v>336</v>
      </c>
      <c r="R1670" s="132" t="s">
        <v>334</v>
      </c>
      <c r="S1670" s="132" t="s">
        <v>34</v>
      </c>
      <c r="T1670" s="134">
        <v>42701</v>
      </c>
      <c r="U1670" s="172">
        <f t="shared" si="86"/>
        <v>2016</v>
      </c>
      <c r="V1670" s="172">
        <f t="shared" si="87"/>
        <v>11</v>
      </c>
      <c r="W1670" s="44" t="s">
        <v>335</v>
      </c>
      <c r="X1670" t="s">
        <v>894</v>
      </c>
      <c r="Z1670" s="13">
        <v>11397</v>
      </c>
      <c r="AA1670" s="13">
        <f t="shared" si="89"/>
        <v>19969555</v>
      </c>
      <c r="AE1670" s="43"/>
      <c r="AL1670" s="87" t="s">
        <v>819</v>
      </c>
      <c r="AM1670" s="86">
        <v>519015</v>
      </c>
    </row>
    <row r="1671" spans="13:39" hidden="1">
      <c r="M1671" s="131">
        <v>20000000</v>
      </c>
      <c r="N1671" s="223">
        <v>21785029</v>
      </c>
      <c r="O1671" s="132" t="s">
        <v>248</v>
      </c>
      <c r="P1671" s="132" t="s">
        <v>245</v>
      </c>
      <c r="Q1671" s="133">
        <v>38080</v>
      </c>
      <c r="R1671" s="132" t="s">
        <v>333</v>
      </c>
      <c r="S1671" s="132" t="s">
        <v>34</v>
      </c>
      <c r="T1671" s="134">
        <v>42190</v>
      </c>
      <c r="U1671" s="172">
        <f t="shared" ref="U1671:U1734" si="90">YEAR($T1671)</f>
        <v>2015</v>
      </c>
      <c r="V1671" s="172">
        <f t="shared" ref="V1671:V1734" si="91">MONTH($T1671)</f>
        <v>7</v>
      </c>
      <c r="W1671" s="44" t="s">
        <v>351</v>
      </c>
      <c r="X1671" t="s">
        <v>892</v>
      </c>
      <c r="Y1671">
        <v>118</v>
      </c>
      <c r="Z1671" s="13">
        <v>7554</v>
      </c>
      <c r="AA1671" s="13">
        <f t="shared" si="89"/>
        <v>20000000</v>
      </c>
      <c r="AE1671" s="43"/>
      <c r="AL1671" s="87" t="s">
        <v>819</v>
      </c>
      <c r="AM1671" s="86">
        <v>519015</v>
      </c>
    </row>
    <row r="1672" spans="13:39" hidden="1">
      <c r="M1672" s="131">
        <v>20140000</v>
      </c>
      <c r="N1672" s="223">
        <v>8937196</v>
      </c>
      <c r="O1672" s="132" t="s">
        <v>248</v>
      </c>
      <c r="P1672" s="132" t="s">
        <v>245</v>
      </c>
      <c r="Q1672" s="135" t="s">
        <v>256</v>
      </c>
      <c r="R1672" s="132" t="s">
        <v>353</v>
      </c>
      <c r="S1672" s="132" t="s">
        <v>34</v>
      </c>
      <c r="T1672" s="134">
        <v>42004</v>
      </c>
      <c r="U1672" s="172">
        <f t="shared" si="90"/>
        <v>2014</v>
      </c>
      <c r="V1672" s="172">
        <f t="shared" si="91"/>
        <v>12</v>
      </c>
      <c r="W1672" s="44" t="s">
        <v>354</v>
      </c>
      <c r="X1672" t="s">
        <v>892</v>
      </c>
      <c r="Y1672">
        <v>38</v>
      </c>
      <c r="Z1672" s="13">
        <v>4801</v>
      </c>
      <c r="AA1672" s="13">
        <f t="shared" si="89"/>
        <v>20140000</v>
      </c>
      <c r="AE1672" s="43"/>
      <c r="AL1672" s="87" t="s">
        <v>819</v>
      </c>
      <c r="AM1672" s="86">
        <v>519043</v>
      </c>
    </row>
    <row r="1673" spans="13:39" hidden="1">
      <c r="M1673" s="131">
        <v>20501000</v>
      </c>
      <c r="N1673" s="223">
        <v>18519042</v>
      </c>
      <c r="O1673" s="132" t="s">
        <v>248</v>
      </c>
      <c r="P1673" s="132" t="s">
        <v>245</v>
      </c>
      <c r="Q1673" s="135" t="s">
        <v>371</v>
      </c>
      <c r="R1673" s="132" t="s">
        <v>353</v>
      </c>
      <c r="S1673" s="132" t="s">
        <v>34</v>
      </c>
      <c r="T1673" s="134">
        <v>42004</v>
      </c>
      <c r="U1673" s="172">
        <f t="shared" si="90"/>
        <v>2014</v>
      </c>
      <c r="V1673" s="172">
        <f t="shared" si="91"/>
        <v>12</v>
      </c>
      <c r="W1673" s="44" t="s">
        <v>354</v>
      </c>
      <c r="X1673" t="s">
        <v>892</v>
      </c>
      <c r="Y1673">
        <v>82</v>
      </c>
      <c r="Z1673" s="13">
        <v>10356</v>
      </c>
      <c r="AA1673" s="13">
        <f t="shared" si="89"/>
        <v>20501000</v>
      </c>
      <c r="AE1673" s="43"/>
      <c r="AL1673" s="87" t="s">
        <v>819</v>
      </c>
      <c r="AM1673" s="86">
        <v>519104</v>
      </c>
    </row>
    <row r="1674" spans="13:39" hidden="1">
      <c r="M1674" s="131">
        <v>20666666</v>
      </c>
      <c r="N1674" s="223">
        <v>16319951</v>
      </c>
      <c r="O1674" s="132" t="s">
        <v>248</v>
      </c>
      <c r="P1674" s="132" t="s">
        <v>245</v>
      </c>
      <c r="Q1674" s="135" t="s">
        <v>359</v>
      </c>
      <c r="R1674" s="132" t="s">
        <v>353</v>
      </c>
      <c r="S1674" s="132" t="s">
        <v>34</v>
      </c>
      <c r="T1674" s="134">
        <v>42004</v>
      </c>
      <c r="U1674" s="172">
        <f t="shared" si="90"/>
        <v>2014</v>
      </c>
      <c r="V1674" s="172">
        <f t="shared" si="91"/>
        <v>12</v>
      </c>
      <c r="W1674" s="44" t="s">
        <v>354</v>
      </c>
      <c r="X1674" t="s">
        <v>892</v>
      </c>
      <c r="Y1674">
        <v>85</v>
      </c>
      <c r="Z1674" s="13">
        <v>6830</v>
      </c>
      <c r="AA1674" s="13">
        <f t="shared" si="89"/>
        <v>20666666</v>
      </c>
      <c r="AE1674" s="43"/>
      <c r="AL1674" s="87" t="s">
        <v>819</v>
      </c>
      <c r="AM1674" s="86">
        <v>519300</v>
      </c>
    </row>
    <row r="1675" spans="13:39" hidden="1">
      <c r="M1675" s="131">
        <v>22512360</v>
      </c>
      <c r="N1675" s="223">
        <v>21552604</v>
      </c>
      <c r="O1675" s="132" t="s">
        <v>248</v>
      </c>
      <c r="P1675" s="132" t="s">
        <v>245</v>
      </c>
      <c r="Q1675" s="135" t="s">
        <v>374</v>
      </c>
      <c r="R1675" s="132" t="s">
        <v>353</v>
      </c>
      <c r="S1675" s="132" t="s">
        <v>34</v>
      </c>
      <c r="T1675" s="134">
        <v>42004</v>
      </c>
      <c r="U1675" s="172">
        <f t="shared" si="90"/>
        <v>2014</v>
      </c>
      <c r="V1675" s="172">
        <f t="shared" si="91"/>
        <v>12</v>
      </c>
      <c r="W1675" s="44" t="s">
        <v>354</v>
      </c>
      <c r="X1675" t="s">
        <v>892</v>
      </c>
      <c r="Y1675">
        <v>112</v>
      </c>
      <c r="Z1675" s="13">
        <v>8237</v>
      </c>
      <c r="AA1675" s="13">
        <f t="shared" si="89"/>
        <v>22512360</v>
      </c>
      <c r="AE1675" s="43"/>
      <c r="AL1675" s="87" t="s">
        <v>819</v>
      </c>
      <c r="AM1675" s="86">
        <v>519317</v>
      </c>
    </row>
    <row r="1676" spans="13:39" hidden="1">
      <c r="M1676" s="131">
        <v>22600000</v>
      </c>
      <c r="N1676" s="223">
        <v>13594162</v>
      </c>
      <c r="O1676" s="132" t="s">
        <v>248</v>
      </c>
      <c r="P1676" s="132" t="s">
        <v>245</v>
      </c>
      <c r="Q1676" s="133">
        <v>42116</v>
      </c>
      <c r="R1676" s="132" t="s">
        <v>34</v>
      </c>
      <c r="S1676" s="132" t="s">
        <v>34</v>
      </c>
      <c r="T1676" s="134">
        <v>42815</v>
      </c>
      <c r="U1676" s="172">
        <f t="shared" si="90"/>
        <v>2017</v>
      </c>
      <c r="V1676" s="172">
        <f t="shared" si="91"/>
        <v>3</v>
      </c>
      <c r="W1676" s="44" t="s">
        <v>331</v>
      </c>
      <c r="X1676" t="s">
        <v>894</v>
      </c>
      <c r="Z1676" s="13"/>
      <c r="AA1676" s="13">
        <f t="shared" si="89"/>
        <v>22600000</v>
      </c>
      <c r="AE1676" s="43"/>
      <c r="AL1676" s="87" t="s">
        <v>819</v>
      </c>
      <c r="AM1676" s="86">
        <v>520024</v>
      </c>
    </row>
    <row r="1677" spans="13:39" hidden="1">
      <c r="M1677" s="131">
        <v>23103333</v>
      </c>
      <c r="N1677" s="223">
        <v>19009384</v>
      </c>
      <c r="O1677" s="132" t="s">
        <v>248</v>
      </c>
      <c r="P1677" s="132" t="s">
        <v>245</v>
      </c>
      <c r="Q1677" s="133">
        <v>38085</v>
      </c>
      <c r="R1677" s="132" t="s">
        <v>333</v>
      </c>
      <c r="S1677" s="132" t="s">
        <v>34</v>
      </c>
      <c r="T1677" s="134">
        <v>42190</v>
      </c>
      <c r="U1677" s="172">
        <f t="shared" si="90"/>
        <v>2015</v>
      </c>
      <c r="V1677" s="172">
        <f t="shared" si="91"/>
        <v>7</v>
      </c>
      <c r="W1677" s="44" t="s">
        <v>351</v>
      </c>
      <c r="X1677" t="s">
        <v>892</v>
      </c>
      <c r="Y1677">
        <v>92</v>
      </c>
      <c r="Z1677" s="13">
        <v>8710</v>
      </c>
      <c r="AA1677" s="13">
        <f t="shared" si="89"/>
        <v>23103333</v>
      </c>
      <c r="AE1677" s="43"/>
      <c r="AL1677" s="87" t="s">
        <v>819</v>
      </c>
      <c r="AM1677" s="86">
        <v>520024</v>
      </c>
    </row>
    <row r="1678" spans="13:39" ht="30" hidden="1">
      <c r="M1678" s="131">
        <v>23118118</v>
      </c>
      <c r="N1678" s="223">
        <v>13527109</v>
      </c>
      <c r="O1678" s="132" t="s">
        <v>294</v>
      </c>
      <c r="P1678" s="132" t="s">
        <v>245</v>
      </c>
      <c r="Q1678" s="133">
        <v>104</v>
      </c>
      <c r="R1678" s="132" t="s">
        <v>346</v>
      </c>
      <c r="S1678" s="132" t="s">
        <v>34</v>
      </c>
      <c r="T1678" s="134">
        <v>42303</v>
      </c>
      <c r="U1678" s="172">
        <f t="shared" si="90"/>
        <v>2015</v>
      </c>
      <c r="V1678" s="172">
        <f t="shared" si="91"/>
        <v>10</v>
      </c>
      <c r="W1678" s="44" t="s">
        <v>347</v>
      </c>
      <c r="X1678" t="s">
        <v>892</v>
      </c>
      <c r="Z1678" s="13">
        <v>5461</v>
      </c>
      <c r="AA1678" s="13">
        <f t="shared" si="89"/>
        <v>23118118</v>
      </c>
      <c r="AE1678" s="43"/>
      <c r="AL1678" s="87" t="s">
        <v>819</v>
      </c>
      <c r="AM1678" s="86">
        <v>520024</v>
      </c>
    </row>
    <row r="1679" spans="13:39" ht="30" hidden="1">
      <c r="M1679" s="131">
        <v>23754555</v>
      </c>
      <c r="N1679" s="223">
        <v>4040258</v>
      </c>
      <c r="O1679" s="132" t="s">
        <v>285</v>
      </c>
      <c r="P1679" s="132" t="s">
        <v>245</v>
      </c>
      <c r="Q1679" s="133">
        <v>62</v>
      </c>
      <c r="R1679" s="132" t="s">
        <v>334</v>
      </c>
      <c r="S1679" s="132" t="s">
        <v>34</v>
      </c>
      <c r="T1679" s="134">
        <v>42701</v>
      </c>
      <c r="U1679" s="172">
        <f t="shared" si="90"/>
        <v>2016</v>
      </c>
      <c r="V1679" s="172">
        <f t="shared" si="91"/>
        <v>11</v>
      </c>
      <c r="W1679" s="44" t="s">
        <v>335</v>
      </c>
      <c r="X1679" t="s">
        <v>894</v>
      </c>
      <c r="Z1679" s="13">
        <v>13558</v>
      </c>
      <c r="AA1679" s="13">
        <f t="shared" si="89"/>
        <v>23754555</v>
      </c>
      <c r="AE1679" s="43"/>
      <c r="AL1679" s="87" t="s">
        <v>819</v>
      </c>
      <c r="AM1679" s="86">
        <v>520024</v>
      </c>
    </row>
    <row r="1680" spans="13:39" hidden="1">
      <c r="M1680" s="131">
        <v>23999999</v>
      </c>
      <c r="N1680" s="223">
        <v>14548931</v>
      </c>
      <c r="O1680" s="132" t="s">
        <v>248</v>
      </c>
      <c r="P1680" s="132" t="s">
        <v>245</v>
      </c>
      <c r="Q1680" s="135" t="s">
        <v>367</v>
      </c>
      <c r="R1680" s="132" t="s">
        <v>353</v>
      </c>
      <c r="S1680" s="132" t="s">
        <v>34</v>
      </c>
      <c r="T1680" s="134">
        <v>42004</v>
      </c>
      <c r="U1680" s="172">
        <f t="shared" si="90"/>
        <v>2014</v>
      </c>
      <c r="V1680" s="172">
        <f t="shared" si="91"/>
        <v>12</v>
      </c>
      <c r="W1680" s="44" t="s">
        <v>354</v>
      </c>
      <c r="X1680" t="s">
        <v>892</v>
      </c>
      <c r="Y1680">
        <v>64</v>
      </c>
      <c r="Z1680" s="13">
        <v>8220</v>
      </c>
      <c r="AA1680" s="13">
        <f t="shared" si="89"/>
        <v>23999999</v>
      </c>
      <c r="AE1680" s="43"/>
      <c r="AL1680" s="87" t="s">
        <v>819</v>
      </c>
      <c r="AM1680" s="86">
        <v>520029</v>
      </c>
    </row>
    <row r="1681" spans="13:39" ht="30" hidden="1">
      <c r="M1681" s="131">
        <v>24383555</v>
      </c>
      <c r="N1681" s="223">
        <v>4147294</v>
      </c>
      <c r="O1681" s="132" t="s">
        <v>285</v>
      </c>
      <c r="P1681" s="132" t="s">
        <v>245</v>
      </c>
      <c r="Q1681" s="133">
        <v>61</v>
      </c>
      <c r="R1681" s="132" t="s">
        <v>334</v>
      </c>
      <c r="S1681" s="132" t="s">
        <v>34</v>
      </c>
      <c r="T1681" s="134">
        <v>42701</v>
      </c>
      <c r="U1681" s="172">
        <f t="shared" si="90"/>
        <v>2016</v>
      </c>
      <c r="V1681" s="172">
        <f t="shared" si="91"/>
        <v>11</v>
      </c>
      <c r="W1681" s="44" t="s">
        <v>335</v>
      </c>
      <c r="X1681" t="s">
        <v>894</v>
      </c>
      <c r="Z1681" s="13">
        <v>13917</v>
      </c>
      <c r="AA1681" s="13">
        <f t="shared" si="89"/>
        <v>24383555</v>
      </c>
      <c r="AE1681" s="43"/>
      <c r="AL1681" s="87" t="s">
        <v>819</v>
      </c>
      <c r="AM1681" s="86">
        <v>520094</v>
      </c>
    </row>
    <row r="1682" spans="13:39" hidden="1">
      <c r="M1682" s="131">
        <v>25000000</v>
      </c>
      <c r="N1682" s="223">
        <v>23460655</v>
      </c>
      <c r="O1682" s="132" t="s">
        <v>248</v>
      </c>
      <c r="P1682" s="132" t="s">
        <v>245</v>
      </c>
      <c r="Q1682" s="133">
        <v>38081</v>
      </c>
      <c r="R1682" s="132" t="s">
        <v>333</v>
      </c>
      <c r="S1682" s="132" t="s">
        <v>34</v>
      </c>
      <c r="T1682" s="134">
        <v>42190</v>
      </c>
      <c r="U1682" s="172">
        <f t="shared" si="90"/>
        <v>2015</v>
      </c>
      <c r="V1682" s="172">
        <f t="shared" si="91"/>
        <v>7</v>
      </c>
      <c r="W1682" s="44" t="s">
        <v>351</v>
      </c>
      <c r="X1682" t="s">
        <v>892</v>
      </c>
      <c r="Y1682">
        <v>120</v>
      </c>
      <c r="Z1682" s="13">
        <v>9201</v>
      </c>
      <c r="AA1682" s="13">
        <f t="shared" si="89"/>
        <v>25000000</v>
      </c>
      <c r="AE1682" s="43"/>
      <c r="AL1682" s="87" t="s">
        <v>819</v>
      </c>
      <c r="AM1682" s="86">
        <v>520349</v>
      </c>
    </row>
    <row r="1683" spans="13:39" ht="30" hidden="1">
      <c r="M1683" s="131">
        <v>26000555</v>
      </c>
      <c r="N1683" s="223">
        <v>20090056</v>
      </c>
      <c r="O1683" s="132" t="s">
        <v>285</v>
      </c>
      <c r="P1683" s="132" t="s">
        <v>245</v>
      </c>
      <c r="Q1683" s="133">
        <v>502</v>
      </c>
      <c r="R1683" s="132" t="s">
        <v>334</v>
      </c>
      <c r="S1683" s="132" t="s">
        <v>34</v>
      </c>
      <c r="T1683" s="134">
        <v>42701</v>
      </c>
      <c r="U1683" s="172">
        <f t="shared" si="90"/>
        <v>2016</v>
      </c>
      <c r="V1683" s="172">
        <f t="shared" si="91"/>
        <v>11</v>
      </c>
      <c r="W1683" s="44" t="s">
        <v>335</v>
      </c>
      <c r="X1683" t="s">
        <v>894</v>
      </c>
      <c r="Z1683" s="13">
        <v>20555</v>
      </c>
      <c r="AA1683" s="13">
        <f t="shared" si="89"/>
        <v>26000555</v>
      </c>
      <c r="AE1683" s="43"/>
      <c r="AL1683" s="87" t="s">
        <v>819</v>
      </c>
      <c r="AM1683" s="86">
        <v>52036274</v>
      </c>
    </row>
    <row r="1684" spans="13:39" hidden="1">
      <c r="M1684" s="131">
        <v>26280777</v>
      </c>
      <c r="N1684" s="223">
        <v>17870281</v>
      </c>
      <c r="O1684" s="132" t="s">
        <v>248</v>
      </c>
      <c r="P1684" s="132" t="s">
        <v>245</v>
      </c>
      <c r="Q1684" s="133">
        <v>1</v>
      </c>
      <c r="R1684" s="132" t="s">
        <v>333</v>
      </c>
      <c r="S1684" s="132" t="s">
        <v>34</v>
      </c>
      <c r="T1684" s="134">
        <v>42092</v>
      </c>
      <c r="U1684" s="172">
        <f t="shared" si="90"/>
        <v>2015</v>
      </c>
      <c r="V1684" s="172">
        <f t="shared" si="91"/>
        <v>3</v>
      </c>
      <c r="W1684" s="44" t="s">
        <v>352</v>
      </c>
      <c r="X1684" t="s">
        <v>892</v>
      </c>
      <c r="Y1684">
        <v>92</v>
      </c>
      <c r="Z1684" s="13">
        <v>6203</v>
      </c>
      <c r="AA1684" s="13">
        <f t="shared" si="89"/>
        <v>26280777</v>
      </c>
      <c r="AE1684" s="43"/>
      <c r="AL1684" s="87" t="s">
        <v>819</v>
      </c>
      <c r="AM1684" s="86">
        <v>520723</v>
      </c>
    </row>
    <row r="1685" spans="13:39" hidden="1">
      <c r="M1685" s="131">
        <v>28318318</v>
      </c>
      <c r="N1685" s="223">
        <v>22852332</v>
      </c>
      <c r="O1685" s="132" t="s">
        <v>248</v>
      </c>
      <c r="P1685" s="132" t="s">
        <v>245</v>
      </c>
      <c r="Q1685" s="135" t="s">
        <v>356</v>
      </c>
      <c r="R1685" s="132" t="s">
        <v>353</v>
      </c>
      <c r="S1685" s="132" t="s">
        <v>34</v>
      </c>
      <c r="T1685" s="134">
        <v>42004</v>
      </c>
      <c r="U1685" s="172">
        <f t="shared" si="90"/>
        <v>2014</v>
      </c>
      <c r="V1685" s="172">
        <f t="shared" si="91"/>
        <v>12</v>
      </c>
      <c r="W1685" s="44" t="s">
        <v>354</v>
      </c>
      <c r="X1685" t="s">
        <v>892</v>
      </c>
      <c r="Y1685">
        <v>117</v>
      </c>
      <c r="Z1685" s="13">
        <v>9947</v>
      </c>
      <c r="AA1685" s="13">
        <f t="shared" si="89"/>
        <v>28318318</v>
      </c>
      <c r="AE1685" s="43"/>
      <c r="AL1685" s="87" t="s">
        <v>819</v>
      </c>
      <c r="AM1685" s="86">
        <v>520732</v>
      </c>
    </row>
    <row r="1686" spans="13:39" hidden="1">
      <c r="M1686" s="131">
        <v>29000500</v>
      </c>
      <c r="N1686" s="223">
        <v>24646293</v>
      </c>
      <c r="O1686" s="132" t="s">
        <v>248</v>
      </c>
      <c r="P1686" s="132" t="s">
        <v>245</v>
      </c>
      <c r="Q1686" s="135" t="s">
        <v>368</v>
      </c>
      <c r="R1686" s="132" t="s">
        <v>353</v>
      </c>
      <c r="S1686" s="132" t="s">
        <v>34</v>
      </c>
      <c r="T1686" s="134">
        <v>42004</v>
      </c>
      <c r="U1686" s="172">
        <f t="shared" si="90"/>
        <v>2014</v>
      </c>
      <c r="V1686" s="172">
        <f t="shared" si="91"/>
        <v>12</v>
      </c>
      <c r="W1686" s="44" t="s">
        <v>354</v>
      </c>
      <c r="X1686" t="s">
        <v>892</v>
      </c>
      <c r="Y1686">
        <v>112</v>
      </c>
      <c r="Z1686" s="13">
        <v>13272</v>
      </c>
      <c r="AA1686" s="13">
        <f t="shared" si="89"/>
        <v>29000500</v>
      </c>
      <c r="AE1686" s="43"/>
      <c r="AL1686" s="87" t="s">
        <v>819</v>
      </c>
      <c r="AM1686" s="86">
        <v>521596</v>
      </c>
    </row>
    <row r="1687" spans="13:39" ht="30" hidden="1">
      <c r="M1687" s="131">
        <v>29897555</v>
      </c>
      <c r="N1687" s="223">
        <v>5389694</v>
      </c>
      <c r="O1687" s="132" t="s">
        <v>285</v>
      </c>
      <c r="P1687" s="132" t="s">
        <v>245</v>
      </c>
      <c r="Q1687" s="133">
        <v>64</v>
      </c>
      <c r="R1687" s="132" t="s">
        <v>334</v>
      </c>
      <c r="S1687" s="132" t="s">
        <v>34</v>
      </c>
      <c r="T1687" s="134">
        <v>42701</v>
      </c>
      <c r="U1687" s="172">
        <f t="shared" si="90"/>
        <v>2016</v>
      </c>
      <c r="V1687" s="172">
        <f t="shared" si="91"/>
        <v>11</v>
      </c>
      <c r="W1687" s="44" t="s">
        <v>335</v>
      </c>
      <c r="X1687" t="s">
        <v>894</v>
      </c>
      <c r="Z1687" s="13">
        <v>18096</v>
      </c>
      <c r="AA1687" s="13">
        <f t="shared" si="89"/>
        <v>29897555</v>
      </c>
      <c r="AE1687" s="43"/>
      <c r="AL1687" s="87" t="s">
        <v>819</v>
      </c>
      <c r="AM1687" s="86">
        <v>521889</v>
      </c>
    </row>
    <row r="1688" spans="13:39" hidden="1">
      <c r="M1688" s="131">
        <v>30000000</v>
      </c>
      <c r="N1688" s="223">
        <v>21529921</v>
      </c>
      <c r="O1688" s="132" t="s">
        <v>248</v>
      </c>
      <c r="P1688" s="132" t="s">
        <v>245</v>
      </c>
      <c r="Q1688" s="133">
        <v>38082</v>
      </c>
      <c r="R1688" s="132" t="s">
        <v>333</v>
      </c>
      <c r="S1688" s="132" t="s">
        <v>34</v>
      </c>
      <c r="T1688" s="134">
        <v>42190</v>
      </c>
      <c r="U1688" s="172">
        <f t="shared" si="90"/>
        <v>2015</v>
      </c>
      <c r="V1688" s="172">
        <f t="shared" si="91"/>
        <v>7</v>
      </c>
      <c r="W1688" s="44" t="s">
        <v>351</v>
      </c>
      <c r="X1688" t="s">
        <v>892</v>
      </c>
      <c r="Y1688">
        <v>120</v>
      </c>
      <c r="Z1688" s="13">
        <v>6807</v>
      </c>
      <c r="AA1688" s="13">
        <f t="shared" si="89"/>
        <v>30000000</v>
      </c>
      <c r="AE1688" s="43"/>
      <c r="AL1688" s="87" t="s">
        <v>819</v>
      </c>
      <c r="AM1688" s="86">
        <v>522056</v>
      </c>
    </row>
    <row r="1689" spans="13:39" hidden="1">
      <c r="M1689" s="131">
        <v>31220150</v>
      </c>
      <c r="N1689" s="223">
        <v>20221331</v>
      </c>
      <c r="O1689" s="132" t="s">
        <v>248</v>
      </c>
      <c r="P1689" s="132" t="s">
        <v>245</v>
      </c>
      <c r="Q1689" s="133">
        <v>2</v>
      </c>
      <c r="R1689" s="132" t="s">
        <v>333</v>
      </c>
      <c r="S1689" s="132" t="s">
        <v>34</v>
      </c>
      <c r="T1689" s="134">
        <v>42092</v>
      </c>
      <c r="U1689" s="172">
        <f t="shared" si="90"/>
        <v>2015</v>
      </c>
      <c r="V1689" s="172">
        <f t="shared" si="91"/>
        <v>3</v>
      </c>
      <c r="W1689" s="44" t="s">
        <v>352</v>
      </c>
      <c r="X1689" t="s">
        <v>892</v>
      </c>
      <c r="Y1689">
        <v>88</v>
      </c>
      <c r="Z1689" s="13">
        <v>6459</v>
      </c>
      <c r="AA1689" s="13">
        <f t="shared" si="89"/>
        <v>31220150</v>
      </c>
      <c r="AE1689" s="43"/>
      <c r="AL1689" s="87" t="s">
        <v>819</v>
      </c>
      <c r="AM1689" s="86">
        <v>522573</v>
      </c>
    </row>
    <row r="1690" spans="13:39" hidden="1">
      <c r="M1690" s="131">
        <v>31363636</v>
      </c>
      <c r="N1690" s="223">
        <v>19321211</v>
      </c>
      <c r="O1690" s="132" t="s">
        <v>248</v>
      </c>
      <c r="P1690" s="132" t="s">
        <v>245</v>
      </c>
      <c r="Q1690" s="135" t="s">
        <v>366</v>
      </c>
      <c r="R1690" s="132" t="s">
        <v>353</v>
      </c>
      <c r="S1690" s="132" t="s">
        <v>34</v>
      </c>
      <c r="T1690" s="134">
        <v>42004</v>
      </c>
      <c r="U1690" s="172">
        <f t="shared" si="90"/>
        <v>2014</v>
      </c>
      <c r="V1690" s="172">
        <f t="shared" si="91"/>
        <v>12</v>
      </c>
      <c r="W1690" s="44" t="s">
        <v>354</v>
      </c>
      <c r="X1690" t="s">
        <v>892</v>
      </c>
      <c r="Y1690">
        <v>86</v>
      </c>
      <c r="Z1690" s="13">
        <v>10716</v>
      </c>
      <c r="AA1690" s="13">
        <f t="shared" si="89"/>
        <v>31363636</v>
      </c>
      <c r="AE1690" s="43"/>
      <c r="AL1690" s="87" t="s">
        <v>819</v>
      </c>
      <c r="AM1690" s="86">
        <v>523002</v>
      </c>
    </row>
    <row r="1691" spans="13:39" hidden="1">
      <c r="M1691" s="131">
        <v>31710017</v>
      </c>
      <c r="N1691" s="223">
        <v>19933589</v>
      </c>
      <c r="O1691" s="132" t="s">
        <v>248</v>
      </c>
      <c r="P1691" s="132" t="s">
        <v>245</v>
      </c>
      <c r="Q1691" s="135" t="s">
        <v>358</v>
      </c>
      <c r="R1691" s="132" t="s">
        <v>353</v>
      </c>
      <c r="S1691" s="132" t="s">
        <v>34</v>
      </c>
      <c r="T1691" s="134">
        <v>42004</v>
      </c>
      <c r="U1691" s="172">
        <f t="shared" si="90"/>
        <v>2014</v>
      </c>
      <c r="V1691" s="172">
        <f t="shared" si="91"/>
        <v>12</v>
      </c>
      <c r="W1691" s="44" t="s">
        <v>354</v>
      </c>
      <c r="X1691" t="s">
        <v>892</v>
      </c>
      <c r="Y1691">
        <v>105</v>
      </c>
      <c r="Z1691" s="13">
        <v>8160</v>
      </c>
      <c r="AA1691" s="13">
        <f t="shared" si="89"/>
        <v>31710017</v>
      </c>
      <c r="AE1691" s="43"/>
      <c r="AL1691" s="87" t="s">
        <v>819</v>
      </c>
      <c r="AM1691" s="86">
        <v>523881</v>
      </c>
    </row>
    <row r="1692" spans="13:39" hidden="1">
      <c r="M1692" s="131">
        <v>42840000</v>
      </c>
      <c r="N1692" s="223">
        <v>34095569</v>
      </c>
      <c r="O1692" s="132" t="s">
        <v>248</v>
      </c>
      <c r="P1692" s="132" t="s">
        <v>245</v>
      </c>
      <c r="Q1692" s="133">
        <v>38083</v>
      </c>
      <c r="R1692" s="132" t="s">
        <v>333</v>
      </c>
      <c r="S1692" s="132" t="s">
        <v>34</v>
      </c>
      <c r="T1692" s="134">
        <v>42190</v>
      </c>
      <c r="U1692" s="172">
        <f t="shared" si="90"/>
        <v>2015</v>
      </c>
      <c r="V1692" s="172">
        <f t="shared" si="91"/>
        <v>7</v>
      </c>
      <c r="W1692" s="44" t="s">
        <v>351</v>
      </c>
      <c r="X1692" t="s">
        <v>892</v>
      </c>
      <c r="Y1692">
        <v>178</v>
      </c>
      <c r="Z1692" s="13">
        <v>12729</v>
      </c>
      <c r="AA1692" s="13">
        <f t="shared" si="89"/>
        <v>42840000</v>
      </c>
      <c r="AE1692" s="43"/>
      <c r="AL1692" s="87" t="s">
        <v>819</v>
      </c>
      <c r="AM1692" s="86">
        <v>523881</v>
      </c>
    </row>
    <row r="1693" spans="13:39" hidden="1">
      <c r="M1693" s="131">
        <v>54720000</v>
      </c>
      <c r="N1693" s="223">
        <v>38394728</v>
      </c>
      <c r="O1693" s="132" t="s">
        <v>248</v>
      </c>
      <c r="P1693" s="132" t="s">
        <v>245</v>
      </c>
      <c r="Q1693" s="135" t="s">
        <v>375</v>
      </c>
      <c r="R1693" s="132" t="s">
        <v>353</v>
      </c>
      <c r="S1693" s="132" t="s">
        <v>34</v>
      </c>
      <c r="T1693" s="134">
        <v>42004</v>
      </c>
      <c r="U1693" s="172">
        <f t="shared" si="90"/>
        <v>2014</v>
      </c>
      <c r="V1693" s="172">
        <f t="shared" si="91"/>
        <v>12</v>
      </c>
      <c r="W1693" s="44" t="s">
        <v>354</v>
      </c>
      <c r="X1693" t="s">
        <v>892</v>
      </c>
      <c r="Y1693">
        <v>228</v>
      </c>
      <c r="Z1693" s="13">
        <v>9762</v>
      </c>
      <c r="AA1693" s="13">
        <f t="shared" si="89"/>
        <v>54720000</v>
      </c>
      <c r="AE1693" s="43"/>
      <c r="AL1693" s="87" t="s">
        <v>819</v>
      </c>
      <c r="AM1693" s="86">
        <v>523881</v>
      </c>
    </row>
    <row r="1694" spans="13:39" ht="30" hidden="1">
      <c r="M1694" s="131">
        <v>56523345</v>
      </c>
      <c r="N1694" s="223">
        <v>10100794</v>
      </c>
      <c r="O1694" s="132" t="s">
        <v>285</v>
      </c>
      <c r="P1694" s="132" t="s">
        <v>245</v>
      </c>
      <c r="Q1694" s="133">
        <v>73</v>
      </c>
      <c r="R1694" s="132" t="s">
        <v>334</v>
      </c>
      <c r="S1694" s="132" t="s">
        <v>34</v>
      </c>
      <c r="T1694" s="134">
        <v>42701</v>
      </c>
      <c r="U1694" s="172">
        <f t="shared" si="90"/>
        <v>2016</v>
      </c>
      <c r="V1694" s="172">
        <f t="shared" si="91"/>
        <v>11</v>
      </c>
      <c r="W1694" s="44" t="s">
        <v>335</v>
      </c>
      <c r="X1694" t="s">
        <v>894</v>
      </c>
      <c r="Z1694" s="13">
        <v>33914</v>
      </c>
      <c r="AA1694" s="13">
        <f t="shared" si="89"/>
        <v>56523345</v>
      </c>
      <c r="AE1694" s="43"/>
      <c r="AL1694" s="87" t="s">
        <v>819</v>
      </c>
      <c r="AM1694" s="86">
        <v>524059</v>
      </c>
    </row>
    <row r="1695" spans="13:39" hidden="1">
      <c r="M1695" s="131">
        <v>81918000</v>
      </c>
      <c r="N1695" s="223">
        <v>39789350</v>
      </c>
      <c r="O1695" s="132" t="s">
        <v>248</v>
      </c>
      <c r="P1695" s="132" t="s">
        <v>245</v>
      </c>
      <c r="Q1695" s="133">
        <v>4</v>
      </c>
      <c r="R1695" s="132" t="s">
        <v>333</v>
      </c>
      <c r="S1695" s="132" t="s">
        <v>34</v>
      </c>
      <c r="T1695" s="134">
        <v>42092</v>
      </c>
      <c r="U1695" s="172">
        <f t="shared" si="90"/>
        <v>2015</v>
      </c>
      <c r="V1695" s="172">
        <f t="shared" si="91"/>
        <v>3</v>
      </c>
      <c r="W1695" s="44" t="s">
        <v>352</v>
      </c>
      <c r="X1695" t="s">
        <v>892</v>
      </c>
      <c r="Y1695">
        <v>196</v>
      </c>
      <c r="Z1695" s="13">
        <v>13884</v>
      </c>
      <c r="AA1695" s="13">
        <f t="shared" si="89"/>
        <v>81918000</v>
      </c>
      <c r="AE1695" s="43"/>
      <c r="AL1695" s="87" t="s">
        <v>819</v>
      </c>
      <c r="AM1695" s="86">
        <v>524141</v>
      </c>
    </row>
    <row r="1696" spans="13:39" hidden="1">
      <c r="M1696" s="152" t="s">
        <v>917</v>
      </c>
      <c r="N1696" s="225">
        <v>33290118</v>
      </c>
      <c r="O1696" s="152" t="s">
        <v>338</v>
      </c>
      <c r="P1696" s="152" t="s">
        <v>245</v>
      </c>
      <c r="Q1696" s="135" t="s">
        <v>254</v>
      </c>
      <c r="R1696" s="152" t="s">
        <v>34</v>
      </c>
      <c r="S1696" s="132" t="s">
        <v>34</v>
      </c>
      <c r="T1696" s="156">
        <v>42871</v>
      </c>
      <c r="U1696" s="172">
        <f t="shared" si="90"/>
        <v>2017</v>
      </c>
      <c r="V1696" s="172">
        <f t="shared" si="91"/>
        <v>5</v>
      </c>
      <c r="W1696" s="157" t="s">
        <v>921</v>
      </c>
      <c r="AA1696" s="13" t="str">
        <f t="shared" si="89"/>
        <v>אין הצעות למתחם זה</v>
      </c>
      <c r="AE1696" s="43"/>
      <c r="AL1696" s="87" t="s">
        <v>819</v>
      </c>
      <c r="AM1696" s="86">
        <v>524141</v>
      </c>
    </row>
    <row r="1697" spans="13:39" hidden="1">
      <c r="M1697" s="154">
        <v>1177000</v>
      </c>
      <c r="N1697" s="225">
        <v>6429996</v>
      </c>
      <c r="O1697" s="152" t="s">
        <v>248</v>
      </c>
      <c r="P1697" s="152" t="s">
        <v>245</v>
      </c>
      <c r="Q1697" s="135" t="s">
        <v>254</v>
      </c>
      <c r="R1697" s="152" t="s">
        <v>919</v>
      </c>
      <c r="S1697" s="132" t="s">
        <v>235</v>
      </c>
      <c r="T1697" s="165">
        <v>42871</v>
      </c>
      <c r="U1697" s="172">
        <f t="shared" si="90"/>
        <v>2017</v>
      </c>
      <c r="V1697" s="172">
        <f t="shared" si="91"/>
        <v>5</v>
      </c>
      <c r="W1697" s="157" t="s">
        <v>920</v>
      </c>
      <c r="X1697" t="s">
        <v>892</v>
      </c>
      <c r="Y1697">
        <v>48</v>
      </c>
      <c r="Z1697">
        <v>6709</v>
      </c>
      <c r="AA1697" s="13">
        <f t="shared" si="89"/>
        <v>1177000</v>
      </c>
      <c r="AE1697" s="43"/>
      <c r="AL1697" s="87" t="s">
        <v>819</v>
      </c>
      <c r="AM1697" s="86">
        <v>524375</v>
      </c>
    </row>
    <row r="1698" spans="13:39" hidden="1">
      <c r="M1698" s="154">
        <v>177777</v>
      </c>
      <c r="N1698" s="225">
        <v>20878044</v>
      </c>
      <c r="O1698" s="152" t="s">
        <v>248</v>
      </c>
      <c r="P1698" s="152" t="s">
        <v>245</v>
      </c>
      <c r="Q1698" s="135" t="s">
        <v>254</v>
      </c>
      <c r="R1698" s="152" t="s">
        <v>965</v>
      </c>
      <c r="S1698" s="161" t="s">
        <v>235</v>
      </c>
      <c r="T1698" s="165">
        <v>42848</v>
      </c>
      <c r="U1698" s="172">
        <f t="shared" si="90"/>
        <v>2017</v>
      </c>
      <c r="V1698" s="172">
        <f t="shared" si="91"/>
        <v>4</v>
      </c>
      <c r="W1698" s="157" t="s">
        <v>966</v>
      </c>
      <c r="X1698" t="s">
        <v>892</v>
      </c>
      <c r="Y1698">
        <v>69</v>
      </c>
      <c r="Z1698">
        <v>17990</v>
      </c>
      <c r="AA1698" s="13">
        <f t="shared" si="89"/>
        <v>177777</v>
      </c>
      <c r="AE1698" s="43"/>
      <c r="AL1698" s="87" t="s">
        <v>819</v>
      </c>
      <c r="AM1698" s="86">
        <v>524375</v>
      </c>
    </row>
    <row r="1699" spans="13:39" hidden="1">
      <c r="M1699" s="152" t="s">
        <v>917</v>
      </c>
      <c r="N1699" s="225">
        <v>17872510</v>
      </c>
      <c r="O1699" s="152" t="s">
        <v>248</v>
      </c>
      <c r="P1699" s="152" t="s">
        <v>251</v>
      </c>
      <c r="Q1699" s="133">
        <v>200</v>
      </c>
      <c r="R1699" s="152" t="s">
        <v>965</v>
      </c>
      <c r="S1699" s="161" t="s">
        <v>235</v>
      </c>
      <c r="T1699" s="156">
        <v>42798</v>
      </c>
      <c r="U1699" s="172">
        <f t="shared" si="90"/>
        <v>2017</v>
      </c>
      <c r="V1699" s="172">
        <f t="shared" si="91"/>
        <v>3</v>
      </c>
      <c r="W1699" s="159" t="s">
        <v>1043</v>
      </c>
      <c r="X1699" t="s">
        <v>892</v>
      </c>
      <c r="Y1699">
        <v>116</v>
      </c>
      <c r="Z1699">
        <v>19883</v>
      </c>
      <c r="AA1699" s="13" t="str">
        <f t="shared" si="89"/>
        <v>אין הצעות למתחם זה</v>
      </c>
      <c r="AE1699" s="43"/>
      <c r="AL1699" s="87" t="s">
        <v>819</v>
      </c>
      <c r="AM1699" s="86">
        <v>524375</v>
      </c>
    </row>
    <row r="1700" spans="13:39" hidden="1">
      <c r="M1700" s="131">
        <v>9378</v>
      </c>
      <c r="N1700" s="223">
        <v>14758558</v>
      </c>
      <c r="O1700" s="132" t="s">
        <v>248</v>
      </c>
      <c r="P1700" s="132" t="s">
        <v>251</v>
      </c>
      <c r="Q1700" s="135" t="s">
        <v>254</v>
      </c>
      <c r="R1700" s="132" t="s">
        <v>674</v>
      </c>
      <c r="S1700" s="132" t="s">
        <v>19</v>
      </c>
      <c r="T1700" s="134">
        <v>42733</v>
      </c>
      <c r="U1700" s="172">
        <f t="shared" si="90"/>
        <v>2016</v>
      </c>
      <c r="V1700" s="172">
        <f t="shared" si="91"/>
        <v>12</v>
      </c>
      <c r="W1700" s="44" t="s">
        <v>675</v>
      </c>
      <c r="X1700" t="s">
        <v>892</v>
      </c>
      <c r="Y1700">
        <v>110</v>
      </c>
      <c r="Z1700" s="13">
        <v>5648</v>
      </c>
      <c r="AA1700" s="13">
        <f t="shared" si="89"/>
        <v>22368500</v>
      </c>
      <c r="AE1700" s="43"/>
      <c r="AL1700" s="87" t="s">
        <v>819</v>
      </c>
      <c r="AM1700" s="86">
        <v>524375</v>
      </c>
    </row>
    <row r="1701" spans="13:39" hidden="1">
      <c r="M1701" s="131">
        <v>9655</v>
      </c>
      <c r="N1701" s="223">
        <v>19069714</v>
      </c>
      <c r="O1701" s="132" t="s">
        <v>248</v>
      </c>
      <c r="P1701" s="132" t="s">
        <v>251</v>
      </c>
      <c r="Q1701" s="135" t="s">
        <v>676</v>
      </c>
      <c r="R1701" s="132" t="s">
        <v>19</v>
      </c>
      <c r="S1701" s="132" t="s">
        <v>19</v>
      </c>
      <c r="T1701" s="134">
        <v>42625</v>
      </c>
      <c r="U1701" s="172">
        <f t="shared" si="90"/>
        <v>2016</v>
      </c>
      <c r="V1701" s="172">
        <f t="shared" si="91"/>
        <v>9</v>
      </c>
      <c r="W1701" s="44" t="s">
        <v>677</v>
      </c>
      <c r="X1701" t="s">
        <v>892</v>
      </c>
      <c r="Y1701">
        <v>130</v>
      </c>
      <c r="Z1701" s="13">
        <v>6976</v>
      </c>
      <c r="AA1701" s="13">
        <f t="shared" si="89"/>
        <v>29136250</v>
      </c>
      <c r="AE1701" s="43"/>
      <c r="AL1701" s="87" t="s">
        <v>819</v>
      </c>
      <c r="AM1701" s="86">
        <v>524375</v>
      </c>
    </row>
    <row r="1702" spans="13:39" hidden="1">
      <c r="M1702" s="131">
        <v>8613131</v>
      </c>
      <c r="N1702" s="223">
        <v>21429730</v>
      </c>
      <c r="O1702" s="132" t="s">
        <v>64</v>
      </c>
      <c r="P1702" s="132" t="s">
        <v>245</v>
      </c>
      <c r="Q1702" s="135" t="s">
        <v>256</v>
      </c>
      <c r="R1702" s="132" t="s">
        <v>680</v>
      </c>
      <c r="S1702" s="132" t="s">
        <v>19</v>
      </c>
      <c r="T1702" s="134">
        <v>42493</v>
      </c>
      <c r="U1702" s="172">
        <f t="shared" si="90"/>
        <v>2016</v>
      </c>
      <c r="V1702" s="172">
        <f t="shared" si="91"/>
        <v>5</v>
      </c>
      <c r="W1702" s="44" t="s">
        <v>681</v>
      </c>
      <c r="X1702" t="s">
        <v>894</v>
      </c>
      <c r="Y1702">
        <v>440</v>
      </c>
      <c r="Z1702" s="13">
        <v>17706</v>
      </c>
      <c r="AA1702" s="13">
        <f t="shared" si="89"/>
        <v>8613131</v>
      </c>
      <c r="AE1702" s="43"/>
      <c r="AL1702" s="87" t="s">
        <v>819</v>
      </c>
      <c r="AM1702" s="86">
        <v>524510</v>
      </c>
    </row>
    <row r="1703" spans="13:39" hidden="1">
      <c r="M1703" s="131">
        <v>26000000</v>
      </c>
      <c r="N1703" s="223">
        <v>36735180</v>
      </c>
      <c r="O1703" s="132" t="s">
        <v>64</v>
      </c>
      <c r="P1703" s="132" t="s">
        <v>245</v>
      </c>
      <c r="Q1703" s="135" t="s">
        <v>254</v>
      </c>
      <c r="R1703" s="132" t="s">
        <v>680</v>
      </c>
      <c r="S1703" s="132" t="s">
        <v>19</v>
      </c>
      <c r="T1703" s="134">
        <v>42493</v>
      </c>
      <c r="U1703" s="172">
        <f t="shared" si="90"/>
        <v>2016</v>
      </c>
      <c r="V1703" s="172">
        <f t="shared" si="91"/>
        <v>5</v>
      </c>
      <c r="W1703" s="44" t="s">
        <v>681</v>
      </c>
      <c r="X1703" t="s">
        <v>894</v>
      </c>
      <c r="Y1703">
        <v>760</v>
      </c>
      <c r="Z1703" s="13">
        <v>47937</v>
      </c>
      <c r="AA1703" s="13">
        <f t="shared" si="89"/>
        <v>26000000</v>
      </c>
      <c r="AE1703" s="43"/>
      <c r="AL1703" s="87" t="s">
        <v>819</v>
      </c>
      <c r="AM1703" s="86">
        <v>524556</v>
      </c>
    </row>
    <row r="1704" spans="13:39" hidden="1">
      <c r="M1704" s="131">
        <v>31645120</v>
      </c>
      <c r="N1704" s="223">
        <v>3069513</v>
      </c>
      <c r="O1704" s="132" t="s">
        <v>294</v>
      </c>
      <c r="P1704" s="132" t="s">
        <v>245</v>
      </c>
      <c r="Q1704" s="133">
        <v>201</v>
      </c>
      <c r="R1704" s="132" t="s">
        <v>680</v>
      </c>
      <c r="S1704" s="132" t="s">
        <v>19</v>
      </c>
      <c r="T1704" s="134">
        <v>42303</v>
      </c>
      <c r="U1704" s="172">
        <f t="shared" si="90"/>
        <v>2015</v>
      </c>
      <c r="V1704" s="172">
        <f t="shared" si="91"/>
        <v>10</v>
      </c>
      <c r="W1704" s="44" t="s">
        <v>682</v>
      </c>
      <c r="X1704" t="s">
        <v>892</v>
      </c>
      <c r="Z1704" s="13">
        <v>4695</v>
      </c>
      <c r="AA1704" s="13">
        <f t="shared" si="89"/>
        <v>31645120</v>
      </c>
      <c r="AE1704" s="43"/>
      <c r="AL1704" s="87" t="s">
        <v>819</v>
      </c>
      <c r="AM1704" s="86">
        <v>524710</v>
      </c>
    </row>
    <row r="1705" spans="13:39" hidden="1">
      <c r="M1705" s="131">
        <v>31645120</v>
      </c>
      <c r="N1705" s="223">
        <v>3069513</v>
      </c>
      <c r="O1705" s="132" t="s">
        <v>294</v>
      </c>
      <c r="P1705" s="132" t="s">
        <v>245</v>
      </c>
      <c r="Q1705" s="133">
        <v>202</v>
      </c>
      <c r="R1705" s="132" t="s">
        <v>680</v>
      </c>
      <c r="S1705" s="132" t="s">
        <v>19</v>
      </c>
      <c r="T1705" s="134">
        <v>42303</v>
      </c>
      <c r="U1705" s="172">
        <f t="shared" si="90"/>
        <v>2015</v>
      </c>
      <c r="V1705" s="172">
        <f t="shared" si="91"/>
        <v>10</v>
      </c>
      <c r="W1705" s="44" t="s">
        <v>682</v>
      </c>
      <c r="X1705" t="s">
        <v>892</v>
      </c>
      <c r="Z1705" s="13">
        <v>4814</v>
      </c>
      <c r="AA1705" s="13">
        <f t="shared" si="89"/>
        <v>31645120</v>
      </c>
      <c r="AE1705" s="43"/>
      <c r="AL1705" s="87" t="s">
        <v>819</v>
      </c>
      <c r="AM1705" s="86">
        <v>5248785</v>
      </c>
    </row>
    <row r="1706" spans="13:39" ht="30" hidden="1">
      <c r="M1706" s="131">
        <v>56800000</v>
      </c>
      <c r="N1706" s="223">
        <v>24412641</v>
      </c>
      <c r="O1706" s="132" t="s">
        <v>678</v>
      </c>
      <c r="P1706" s="132" t="s">
        <v>245</v>
      </c>
      <c r="Q1706" s="133">
        <v>3</v>
      </c>
      <c r="R1706" s="132" t="s">
        <v>19</v>
      </c>
      <c r="S1706" s="132" t="s">
        <v>19</v>
      </c>
      <c r="T1706" s="134">
        <v>42512</v>
      </c>
      <c r="U1706" s="172">
        <f t="shared" si="90"/>
        <v>2016</v>
      </c>
      <c r="V1706" s="172">
        <f t="shared" si="91"/>
        <v>5</v>
      </c>
      <c r="W1706" s="44" t="s">
        <v>679</v>
      </c>
      <c r="X1706" t="s">
        <v>894</v>
      </c>
      <c r="Z1706" s="13">
        <v>6364</v>
      </c>
      <c r="AA1706" s="13">
        <f t="shared" si="89"/>
        <v>56800000</v>
      </c>
      <c r="AE1706" s="43"/>
      <c r="AL1706" s="87" t="s">
        <v>819</v>
      </c>
      <c r="AM1706" s="86">
        <v>525051</v>
      </c>
    </row>
    <row r="1707" spans="13:39" hidden="1">
      <c r="M1707" s="152" t="s">
        <v>917</v>
      </c>
      <c r="N1707" s="225">
        <v>22456696</v>
      </c>
      <c r="O1707" s="152" t="s">
        <v>248</v>
      </c>
      <c r="P1707" s="152" t="s">
        <v>251</v>
      </c>
      <c r="Q1707" s="135" t="s">
        <v>254</v>
      </c>
      <c r="R1707" s="152" t="s">
        <v>952</v>
      </c>
      <c r="S1707" s="161" t="s">
        <v>19</v>
      </c>
      <c r="T1707" s="165">
        <v>42849</v>
      </c>
      <c r="U1707" s="172">
        <f t="shared" si="90"/>
        <v>2017</v>
      </c>
      <c r="V1707" s="172">
        <f t="shared" si="91"/>
        <v>4</v>
      </c>
      <c r="W1707" s="157" t="s">
        <v>953</v>
      </c>
      <c r="X1707" t="s">
        <v>892</v>
      </c>
      <c r="Y1707">
        <v>212</v>
      </c>
      <c r="Z1707">
        <v>5787</v>
      </c>
      <c r="AA1707" s="13" t="str">
        <f t="shared" si="89"/>
        <v>אין הצעות למתחם זה</v>
      </c>
      <c r="AE1707" s="43"/>
      <c r="AL1707" s="87" t="s">
        <v>819</v>
      </c>
      <c r="AM1707" s="86">
        <v>525173</v>
      </c>
    </row>
    <row r="1708" spans="13:39" hidden="1">
      <c r="M1708" s="154">
        <v>9367</v>
      </c>
      <c r="N1708" s="225">
        <v>6998274</v>
      </c>
      <c r="O1708" s="152" t="s">
        <v>248</v>
      </c>
      <c r="P1708" s="152" t="s">
        <v>251</v>
      </c>
      <c r="Q1708" s="135" t="s">
        <v>256</v>
      </c>
      <c r="R1708" s="152" t="s">
        <v>952</v>
      </c>
      <c r="S1708" s="161" t="s">
        <v>19</v>
      </c>
      <c r="T1708" s="165">
        <v>42849</v>
      </c>
      <c r="U1708" s="172">
        <f t="shared" si="90"/>
        <v>2017</v>
      </c>
      <c r="V1708" s="172">
        <f t="shared" si="91"/>
        <v>4</v>
      </c>
      <c r="W1708" s="157" t="s">
        <v>953</v>
      </c>
      <c r="X1708" t="s">
        <v>892</v>
      </c>
      <c r="Y1708">
        <v>56</v>
      </c>
      <c r="Z1708">
        <v>3502</v>
      </c>
      <c r="AA1708" s="13">
        <f t="shared" si="89"/>
        <v>11341400</v>
      </c>
      <c r="AE1708" s="43"/>
      <c r="AL1708" s="87" t="s">
        <v>819</v>
      </c>
      <c r="AM1708" s="86">
        <v>525279</v>
      </c>
    </row>
    <row r="1709" spans="13:39" hidden="1">
      <c r="M1709" s="154">
        <v>9189</v>
      </c>
      <c r="N1709" s="225">
        <v>14133173</v>
      </c>
      <c r="O1709" s="152" t="s">
        <v>248</v>
      </c>
      <c r="P1709" s="152" t="s">
        <v>251</v>
      </c>
      <c r="Q1709" s="135" t="s">
        <v>257</v>
      </c>
      <c r="R1709" s="152" t="s">
        <v>952</v>
      </c>
      <c r="S1709" s="161" t="s">
        <v>19</v>
      </c>
      <c r="T1709" s="165">
        <v>42849</v>
      </c>
      <c r="U1709" s="172">
        <f t="shared" si="90"/>
        <v>2017</v>
      </c>
      <c r="V1709" s="172">
        <f t="shared" si="91"/>
        <v>4</v>
      </c>
      <c r="W1709" s="157" t="s">
        <v>953</v>
      </c>
      <c r="X1709" t="s">
        <v>892</v>
      </c>
      <c r="Y1709">
        <v>110</v>
      </c>
      <c r="Z1709">
        <v>7264</v>
      </c>
      <c r="AA1709" s="13">
        <f t="shared" si="89"/>
        <v>20809250</v>
      </c>
      <c r="AE1709" s="43"/>
      <c r="AL1709" s="87" t="s">
        <v>819</v>
      </c>
      <c r="AM1709" s="86">
        <v>525279</v>
      </c>
    </row>
    <row r="1710" spans="13:39" hidden="1">
      <c r="M1710" s="154">
        <v>4300</v>
      </c>
      <c r="N1710" s="225">
        <v>2999644</v>
      </c>
      <c r="O1710" s="152" t="s">
        <v>248</v>
      </c>
      <c r="P1710" s="152" t="s">
        <v>251</v>
      </c>
      <c r="Q1710" s="135" t="s">
        <v>254</v>
      </c>
      <c r="R1710" s="152" t="s">
        <v>950</v>
      </c>
      <c r="S1710" s="161" t="s">
        <v>950</v>
      </c>
      <c r="T1710" s="165">
        <v>42849</v>
      </c>
      <c r="U1710" s="172">
        <f t="shared" si="90"/>
        <v>2017</v>
      </c>
      <c r="V1710" s="172">
        <f t="shared" si="91"/>
        <v>4</v>
      </c>
      <c r="W1710" s="157" t="s">
        <v>951</v>
      </c>
      <c r="X1710" t="e">
        <f>MATCH($W1710,$E$30:$E$125,0)</f>
        <v>#N/A</v>
      </c>
      <c r="AA1710" s="13">
        <f t="shared" si="89"/>
        <v>0</v>
      </c>
      <c r="AE1710" s="43"/>
      <c r="AL1710" s="87" t="s">
        <v>819</v>
      </c>
      <c r="AM1710" s="86">
        <v>525423</v>
      </c>
    </row>
    <row r="1711" spans="13:39" hidden="1">
      <c r="M1711" s="154">
        <v>4300</v>
      </c>
      <c r="N1711" s="225">
        <v>2756739</v>
      </c>
      <c r="O1711" s="152" t="s">
        <v>248</v>
      </c>
      <c r="P1711" s="152" t="s">
        <v>251</v>
      </c>
      <c r="Q1711" s="135" t="s">
        <v>256</v>
      </c>
      <c r="R1711" s="152" t="s">
        <v>950</v>
      </c>
      <c r="S1711" s="161" t="s">
        <v>950</v>
      </c>
      <c r="T1711" s="165">
        <v>42849</v>
      </c>
      <c r="U1711" s="172">
        <f t="shared" si="90"/>
        <v>2017</v>
      </c>
      <c r="V1711" s="172">
        <f t="shared" si="91"/>
        <v>4</v>
      </c>
      <c r="W1711" s="157" t="s">
        <v>951</v>
      </c>
      <c r="X1711" t="e">
        <f>MATCH($W1711,$E$30:$E$125,0)</f>
        <v>#N/A</v>
      </c>
      <c r="AA1711" s="13">
        <f t="shared" si="89"/>
        <v>0</v>
      </c>
      <c r="AE1711" s="43"/>
      <c r="AL1711" s="87" t="s">
        <v>819</v>
      </c>
      <c r="AM1711" s="86">
        <v>525849</v>
      </c>
    </row>
    <row r="1712" spans="13:39" hidden="1">
      <c r="M1712" s="131">
        <v>555555</v>
      </c>
      <c r="N1712" s="224" t="s">
        <v>812</v>
      </c>
      <c r="O1712" s="132" t="s">
        <v>332</v>
      </c>
      <c r="P1712" s="132" t="s">
        <v>245</v>
      </c>
      <c r="Q1712" s="133">
        <v>14</v>
      </c>
      <c r="R1712" s="132" t="s">
        <v>683</v>
      </c>
      <c r="S1712" s="132" t="s">
        <v>145</v>
      </c>
      <c r="T1712" s="134">
        <v>42764</v>
      </c>
      <c r="U1712" s="172">
        <f t="shared" si="90"/>
        <v>2017</v>
      </c>
      <c r="V1712" s="172">
        <f t="shared" si="91"/>
        <v>1</v>
      </c>
      <c r="W1712" s="44" t="s">
        <v>684</v>
      </c>
      <c r="X1712" t="s">
        <v>894</v>
      </c>
      <c r="Z1712" s="13"/>
      <c r="AA1712" s="13">
        <f t="shared" si="89"/>
        <v>555555</v>
      </c>
      <c r="AE1712" s="43"/>
      <c r="AL1712" s="87" t="s">
        <v>819</v>
      </c>
      <c r="AM1712" s="86">
        <v>525863</v>
      </c>
    </row>
    <row r="1713" spans="13:39" hidden="1">
      <c r="M1713" s="131">
        <v>4355</v>
      </c>
      <c r="N1713" s="222">
        <v>1084978</v>
      </c>
      <c r="O1713" s="132" t="s">
        <v>248</v>
      </c>
      <c r="P1713" s="132" t="s">
        <v>251</v>
      </c>
      <c r="Q1713" s="133">
        <v>44891</v>
      </c>
      <c r="R1713" s="132" t="s">
        <v>377</v>
      </c>
      <c r="S1713" s="132" t="s">
        <v>14</v>
      </c>
      <c r="T1713" s="134">
        <v>42632</v>
      </c>
      <c r="U1713" s="172">
        <f t="shared" si="90"/>
        <v>2016</v>
      </c>
      <c r="V1713" s="172">
        <f t="shared" si="91"/>
        <v>9</v>
      </c>
      <c r="W1713" s="44" t="s">
        <v>378</v>
      </c>
      <c r="X1713" t="s">
        <v>892</v>
      </c>
      <c r="Y1713">
        <v>14</v>
      </c>
      <c r="Z1713" s="13">
        <v>1169</v>
      </c>
      <c r="AA1713" s="13">
        <f t="shared" si="89"/>
        <v>-2427250</v>
      </c>
      <c r="AE1713" s="43"/>
      <c r="AL1713" s="87" t="s">
        <v>819</v>
      </c>
      <c r="AM1713" s="86">
        <v>526042</v>
      </c>
    </row>
    <row r="1714" spans="13:39" hidden="1">
      <c r="M1714" s="131">
        <v>4555</v>
      </c>
      <c r="N1714" s="222">
        <v>1084978</v>
      </c>
      <c r="O1714" s="132" t="s">
        <v>248</v>
      </c>
      <c r="P1714" s="132" t="s">
        <v>251</v>
      </c>
      <c r="Q1714" s="133">
        <v>44892</v>
      </c>
      <c r="R1714" s="132" t="s">
        <v>377</v>
      </c>
      <c r="S1714" s="132" t="s">
        <v>14</v>
      </c>
      <c r="T1714" s="134">
        <v>42632</v>
      </c>
      <c r="U1714" s="172">
        <f t="shared" si="90"/>
        <v>2016</v>
      </c>
      <c r="V1714" s="172">
        <f t="shared" si="91"/>
        <v>9</v>
      </c>
      <c r="W1714" s="44" t="s">
        <v>378</v>
      </c>
      <c r="X1714" t="s">
        <v>892</v>
      </c>
      <c r="Y1714">
        <v>14</v>
      </c>
      <c r="Z1714" s="13">
        <v>1169</v>
      </c>
      <c r="AA1714" s="13">
        <f t="shared" si="89"/>
        <v>-2217250</v>
      </c>
      <c r="AE1714" s="43"/>
      <c r="AL1714" s="87" t="s">
        <v>819</v>
      </c>
      <c r="AM1714" s="86">
        <v>526358</v>
      </c>
    </row>
    <row r="1715" spans="13:39" hidden="1">
      <c r="M1715" s="131">
        <v>4581</v>
      </c>
      <c r="N1715" s="223">
        <v>1549968</v>
      </c>
      <c r="O1715" s="132" t="s">
        <v>248</v>
      </c>
      <c r="P1715" s="132" t="s">
        <v>251</v>
      </c>
      <c r="Q1715" s="133">
        <v>44890</v>
      </c>
      <c r="R1715" s="132" t="s">
        <v>377</v>
      </c>
      <c r="S1715" s="132" t="s">
        <v>14</v>
      </c>
      <c r="T1715" s="134">
        <v>42632</v>
      </c>
      <c r="U1715" s="172">
        <f t="shared" si="90"/>
        <v>2016</v>
      </c>
      <c r="V1715" s="172">
        <f t="shared" si="91"/>
        <v>9</v>
      </c>
      <c r="W1715" s="44" t="s">
        <v>378</v>
      </c>
      <c r="X1715" t="s">
        <v>892</v>
      </c>
      <c r="Y1715">
        <v>20</v>
      </c>
      <c r="Z1715" s="13">
        <v>1628</v>
      </c>
      <c r="AA1715" s="13">
        <f t="shared" si="89"/>
        <v>-3128500</v>
      </c>
      <c r="AE1715" s="43"/>
      <c r="AL1715" s="87" t="s">
        <v>819</v>
      </c>
      <c r="AM1715" s="86">
        <v>526358</v>
      </c>
    </row>
    <row r="1716" spans="13:39" hidden="1">
      <c r="M1716" s="131">
        <v>4581</v>
      </c>
      <c r="N1716" s="223">
        <v>1859962</v>
      </c>
      <c r="O1716" s="132" t="s">
        <v>248</v>
      </c>
      <c r="P1716" s="132" t="s">
        <v>251</v>
      </c>
      <c r="Q1716" s="133">
        <v>44889</v>
      </c>
      <c r="R1716" s="132" t="s">
        <v>377</v>
      </c>
      <c r="S1716" s="132" t="s">
        <v>14</v>
      </c>
      <c r="T1716" s="134">
        <v>42632</v>
      </c>
      <c r="U1716" s="172">
        <f t="shared" si="90"/>
        <v>2016</v>
      </c>
      <c r="V1716" s="172">
        <f t="shared" si="91"/>
        <v>9</v>
      </c>
      <c r="W1716" s="44" t="s">
        <v>378</v>
      </c>
      <c r="X1716" t="s">
        <v>892</v>
      </c>
      <c r="Y1716">
        <v>24</v>
      </c>
      <c r="Z1716" s="13">
        <v>2014</v>
      </c>
      <c r="AA1716" s="13">
        <f t="shared" si="89"/>
        <v>-3754200</v>
      </c>
      <c r="AE1716" s="43"/>
      <c r="AL1716" s="87" t="s">
        <v>819</v>
      </c>
      <c r="AM1716" s="86">
        <v>526358</v>
      </c>
    </row>
    <row r="1717" spans="13:39" hidden="1">
      <c r="M1717" s="131">
        <v>4650</v>
      </c>
      <c r="N1717" s="223">
        <v>1549968</v>
      </c>
      <c r="O1717" s="132" t="s">
        <v>248</v>
      </c>
      <c r="P1717" s="132" t="s">
        <v>251</v>
      </c>
      <c r="Q1717" s="133">
        <v>44887</v>
      </c>
      <c r="R1717" s="132" t="s">
        <v>377</v>
      </c>
      <c r="S1717" s="132" t="s">
        <v>14</v>
      </c>
      <c r="T1717" s="134">
        <v>42632</v>
      </c>
      <c r="U1717" s="172">
        <f t="shared" si="90"/>
        <v>2016</v>
      </c>
      <c r="V1717" s="172">
        <f t="shared" si="91"/>
        <v>9</v>
      </c>
      <c r="W1717" s="44" t="s">
        <v>378</v>
      </c>
      <c r="X1717" t="s">
        <v>892</v>
      </c>
      <c r="Y1717">
        <v>20</v>
      </c>
      <c r="Z1717" s="13">
        <v>1630</v>
      </c>
      <c r="AA1717" s="13">
        <f t="shared" si="89"/>
        <v>-3025000</v>
      </c>
      <c r="AE1717" s="43"/>
      <c r="AL1717" s="87" t="s">
        <v>819</v>
      </c>
      <c r="AM1717" s="86">
        <v>526358</v>
      </c>
    </row>
    <row r="1718" spans="13:39" hidden="1">
      <c r="M1718" s="131">
        <v>7643</v>
      </c>
      <c r="N1718" s="223">
        <v>49131022</v>
      </c>
      <c r="O1718" s="132" t="s">
        <v>248</v>
      </c>
      <c r="P1718" s="132" t="s">
        <v>251</v>
      </c>
      <c r="Q1718" s="135" t="s">
        <v>254</v>
      </c>
      <c r="R1718" s="132" t="s">
        <v>318</v>
      </c>
      <c r="S1718" s="132" t="s">
        <v>793</v>
      </c>
      <c r="T1718" s="134">
        <v>42520</v>
      </c>
      <c r="U1718" s="172">
        <f t="shared" si="90"/>
        <v>2016</v>
      </c>
      <c r="V1718" s="172">
        <f t="shared" si="91"/>
        <v>5</v>
      </c>
      <c r="W1718" s="114" t="s">
        <v>321</v>
      </c>
      <c r="X1718" t="s">
        <v>892</v>
      </c>
      <c r="Y1718">
        <v>230</v>
      </c>
      <c r="Z1718">
        <v>12143</v>
      </c>
      <c r="AA1718" s="13">
        <f t="shared" si="89"/>
        <v>16841750</v>
      </c>
      <c r="AE1718" s="43"/>
      <c r="AL1718" s="87" t="s">
        <v>819</v>
      </c>
      <c r="AM1718" s="86">
        <v>526358</v>
      </c>
    </row>
    <row r="1719" spans="13:39" hidden="1">
      <c r="M1719" s="131">
        <v>7923</v>
      </c>
      <c r="N1719" s="223">
        <v>92402908</v>
      </c>
      <c r="O1719" s="132" t="s">
        <v>248</v>
      </c>
      <c r="P1719" s="132" t="s">
        <v>251</v>
      </c>
      <c r="Q1719" s="135" t="s">
        <v>258</v>
      </c>
      <c r="R1719" s="132" t="s">
        <v>318</v>
      </c>
      <c r="S1719" s="132" t="s">
        <v>793</v>
      </c>
      <c r="T1719" s="134">
        <v>42520</v>
      </c>
      <c r="U1719" s="172">
        <f t="shared" si="90"/>
        <v>2016</v>
      </c>
      <c r="V1719" s="172">
        <f t="shared" si="91"/>
        <v>5</v>
      </c>
      <c r="W1719" s="114" t="s">
        <v>320</v>
      </c>
      <c r="X1719" t="s">
        <v>892</v>
      </c>
      <c r="Y1719">
        <v>457</v>
      </c>
      <c r="Z1719">
        <v>20520</v>
      </c>
      <c r="AA1719" s="13">
        <f t="shared" si="89"/>
        <v>43060825</v>
      </c>
      <c r="AE1719" s="43"/>
      <c r="AL1719" s="87" t="s">
        <v>819</v>
      </c>
      <c r="AM1719" s="86">
        <v>526537</v>
      </c>
    </row>
    <row r="1720" spans="13:39" hidden="1">
      <c r="M1720" s="131">
        <v>7983</v>
      </c>
      <c r="N1720" s="223">
        <v>34452848</v>
      </c>
      <c r="O1720" s="132" t="s">
        <v>248</v>
      </c>
      <c r="P1720" s="132" t="s">
        <v>251</v>
      </c>
      <c r="Q1720" s="135" t="s">
        <v>256</v>
      </c>
      <c r="R1720" s="132" t="s">
        <v>318</v>
      </c>
      <c r="S1720" s="132" t="s">
        <v>793</v>
      </c>
      <c r="T1720" s="134">
        <v>42520</v>
      </c>
      <c r="U1720" s="172">
        <f t="shared" si="90"/>
        <v>2016</v>
      </c>
      <c r="V1720" s="172">
        <f t="shared" si="91"/>
        <v>5</v>
      </c>
      <c r="W1720" s="114" t="s">
        <v>321</v>
      </c>
      <c r="X1720" t="s">
        <v>892</v>
      </c>
      <c r="Y1720">
        <v>149</v>
      </c>
      <c r="Z1720">
        <v>9656</v>
      </c>
      <c r="AA1720" s="13">
        <f t="shared" si="89"/>
        <v>14710025</v>
      </c>
      <c r="AE1720" s="43"/>
      <c r="AL1720" s="87" t="s">
        <v>819</v>
      </c>
      <c r="AM1720" s="86">
        <v>526651</v>
      </c>
    </row>
    <row r="1721" spans="13:39" hidden="1">
      <c r="M1721" s="131">
        <v>8245</v>
      </c>
      <c r="N1721" s="223">
        <v>35725827</v>
      </c>
      <c r="O1721" s="132" t="s">
        <v>248</v>
      </c>
      <c r="P1721" s="132" t="s">
        <v>251</v>
      </c>
      <c r="Q1721" s="135" t="s">
        <v>259</v>
      </c>
      <c r="R1721" s="132" t="s">
        <v>318</v>
      </c>
      <c r="S1721" s="132" t="s">
        <v>793</v>
      </c>
      <c r="T1721" s="134">
        <v>42520</v>
      </c>
      <c r="U1721" s="172">
        <f t="shared" si="90"/>
        <v>2016</v>
      </c>
      <c r="V1721" s="172">
        <f t="shared" si="91"/>
        <v>5</v>
      </c>
      <c r="W1721" s="114" t="s">
        <v>320</v>
      </c>
      <c r="X1721" t="s">
        <v>892</v>
      </c>
      <c r="Y1721">
        <v>206</v>
      </c>
      <c r="Z1721">
        <v>5182</v>
      </c>
      <c r="AA1721" s="13">
        <f t="shared" si="89"/>
        <v>24385250</v>
      </c>
      <c r="AE1721" s="43"/>
      <c r="AL1721" s="87" t="s">
        <v>819</v>
      </c>
      <c r="AM1721" s="86">
        <v>527349</v>
      </c>
    </row>
    <row r="1722" spans="13:39" hidden="1">
      <c r="M1722" s="131">
        <v>3692100</v>
      </c>
      <c r="N1722" s="223">
        <v>15261526</v>
      </c>
      <c r="O1722" s="132" t="s">
        <v>244</v>
      </c>
      <c r="P1722" s="132" t="s">
        <v>245</v>
      </c>
      <c r="Q1722" s="133">
        <v>29</v>
      </c>
      <c r="R1722" s="132" t="s">
        <v>318</v>
      </c>
      <c r="S1722" s="132" t="s">
        <v>793</v>
      </c>
      <c r="T1722" s="134">
        <v>42610</v>
      </c>
      <c r="U1722" s="172">
        <f t="shared" si="90"/>
        <v>2016</v>
      </c>
      <c r="V1722" s="172">
        <f t="shared" si="91"/>
        <v>8</v>
      </c>
      <c r="W1722" s="114" t="s">
        <v>319</v>
      </c>
      <c r="X1722" t="s">
        <v>892</v>
      </c>
      <c r="Y1722">
        <v>26</v>
      </c>
      <c r="Z1722">
        <v>7747</v>
      </c>
      <c r="AA1722" s="13">
        <f t="shared" si="89"/>
        <v>3692100</v>
      </c>
      <c r="AE1722" s="43"/>
      <c r="AL1722" s="87" t="s">
        <v>819</v>
      </c>
      <c r="AM1722" s="86">
        <v>527528</v>
      </c>
    </row>
    <row r="1723" spans="13:39" ht="30" hidden="1">
      <c r="M1723" s="131">
        <v>10740000</v>
      </c>
      <c r="N1723" s="223">
        <v>2670705</v>
      </c>
      <c r="O1723" s="132" t="s">
        <v>248</v>
      </c>
      <c r="P1723" s="132" t="s">
        <v>245</v>
      </c>
      <c r="Q1723" s="133">
        <v>204</v>
      </c>
      <c r="R1723" s="132" t="s">
        <v>326</v>
      </c>
      <c r="S1723" s="132" t="s">
        <v>793</v>
      </c>
      <c r="T1723" s="134">
        <v>41717</v>
      </c>
      <c r="U1723" s="172">
        <f t="shared" si="90"/>
        <v>2014</v>
      </c>
      <c r="V1723" s="172">
        <f t="shared" si="91"/>
        <v>3</v>
      </c>
      <c r="W1723" s="114" t="s">
        <v>327</v>
      </c>
      <c r="X1723" t="s">
        <v>892</v>
      </c>
      <c r="Y1723">
        <v>40</v>
      </c>
      <c r="Z1723">
        <v>3391</v>
      </c>
      <c r="AA1723" s="13">
        <f t="shared" si="89"/>
        <v>10740000</v>
      </c>
      <c r="AE1723" s="43"/>
      <c r="AL1723" s="87" t="s">
        <v>819</v>
      </c>
      <c r="AM1723" s="86">
        <v>528128</v>
      </c>
    </row>
    <row r="1724" spans="13:39" hidden="1">
      <c r="M1724" s="131">
        <v>10810800</v>
      </c>
      <c r="N1724" s="223">
        <v>30768125</v>
      </c>
      <c r="O1724" s="132" t="s">
        <v>244</v>
      </c>
      <c r="P1724" s="132" t="s">
        <v>245</v>
      </c>
      <c r="Q1724" s="133">
        <v>30</v>
      </c>
      <c r="R1724" s="132" t="s">
        <v>318</v>
      </c>
      <c r="S1724" s="132" t="s">
        <v>793</v>
      </c>
      <c r="T1724" s="134">
        <v>42610</v>
      </c>
      <c r="U1724" s="172">
        <f t="shared" si="90"/>
        <v>2016</v>
      </c>
      <c r="V1724" s="172">
        <f t="shared" si="91"/>
        <v>8</v>
      </c>
      <c r="W1724" s="114" t="s">
        <v>319</v>
      </c>
      <c r="X1724" t="s">
        <v>892</v>
      </c>
      <c r="Y1724">
        <v>60</v>
      </c>
      <c r="Z1724">
        <v>14832</v>
      </c>
      <c r="AA1724" s="13">
        <f t="shared" si="89"/>
        <v>10810800</v>
      </c>
      <c r="AE1724" s="43"/>
      <c r="AL1724" s="87" t="s">
        <v>819</v>
      </c>
      <c r="AM1724" s="86">
        <v>528430</v>
      </c>
    </row>
    <row r="1725" spans="13:39" ht="30" hidden="1">
      <c r="M1725" s="131">
        <v>12555555</v>
      </c>
      <c r="N1725" s="223">
        <v>2677761</v>
      </c>
      <c r="O1725" s="132" t="s">
        <v>248</v>
      </c>
      <c r="P1725" s="132" t="s">
        <v>245</v>
      </c>
      <c r="Q1725" s="133">
        <v>205</v>
      </c>
      <c r="R1725" s="132" t="s">
        <v>324</v>
      </c>
      <c r="S1725" s="132" t="s">
        <v>793</v>
      </c>
      <c r="T1725" s="134">
        <v>42169</v>
      </c>
      <c r="U1725" s="172">
        <f t="shared" si="90"/>
        <v>2015</v>
      </c>
      <c r="V1725" s="172">
        <f t="shared" si="91"/>
        <v>6</v>
      </c>
      <c r="W1725" s="114" t="s">
        <v>325</v>
      </c>
      <c r="X1725" t="s">
        <v>892</v>
      </c>
      <c r="Y1725">
        <v>40</v>
      </c>
      <c r="Z1725">
        <v>3341</v>
      </c>
      <c r="AA1725" s="13">
        <f t="shared" si="89"/>
        <v>12555555</v>
      </c>
      <c r="AE1725" s="43"/>
      <c r="AL1725" s="87" t="s">
        <v>819</v>
      </c>
      <c r="AM1725" s="86">
        <v>5286934</v>
      </c>
    </row>
    <row r="1726" spans="13:39" ht="30" hidden="1">
      <c r="M1726" s="131">
        <v>13713501</v>
      </c>
      <c r="N1726" s="223">
        <v>2732539</v>
      </c>
      <c r="O1726" s="132" t="s">
        <v>248</v>
      </c>
      <c r="P1726" s="132" t="s">
        <v>245</v>
      </c>
      <c r="Q1726" s="133">
        <v>206</v>
      </c>
      <c r="R1726" s="132" t="s">
        <v>324</v>
      </c>
      <c r="S1726" s="132" t="s">
        <v>793</v>
      </c>
      <c r="T1726" s="134">
        <v>42169</v>
      </c>
      <c r="U1726" s="172">
        <f t="shared" si="90"/>
        <v>2015</v>
      </c>
      <c r="V1726" s="172">
        <f t="shared" si="91"/>
        <v>6</v>
      </c>
      <c r="W1726" s="114" t="s">
        <v>325</v>
      </c>
      <c r="X1726" t="s">
        <v>892</v>
      </c>
      <c r="Y1726">
        <v>40</v>
      </c>
      <c r="Z1726">
        <v>3513</v>
      </c>
      <c r="AA1726" s="13">
        <f t="shared" si="89"/>
        <v>13713501</v>
      </c>
      <c r="AE1726" s="43"/>
      <c r="AL1726" s="87" t="s">
        <v>819</v>
      </c>
      <c r="AM1726" s="86">
        <v>528696</v>
      </c>
    </row>
    <row r="1727" spans="13:39" ht="30" hidden="1">
      <c r="M1727" s="131">
        <v>15224900</v>
      </c>
      <c r="N1727" s="223">
        <v>2770385</v>
      </c>
      <c r="O1727" s="132" t="s">
        <v>248</v>
      </c>
      <c r="P1727" s="132" t="s">
        <v>245</v>
      </c>
      <c r="Q1727" s="133">
        <v>203</v>
      </c>
      <c r="R1727" s="132" t="s">
        <v>324</v>
      </c>
      <c r="S1727" s="132" t="s">
        <v>793</v>
      </c>
      <c r="T1727" s="134">
        <v>42169</v>
      </c>
      <c r="U1727" s="172">
        <f t="shared" si="90"/>
        <v>2015</v>
      </c>
      <c r="V1727" s="172">
        <f t="shared" si="91"/>
        <v>6</v>
      </c>
      <c r="W1727" s="114" t="s">
        <v>325</v>
      </c>
      <c r="X1727" t="s">
        <v>892</v>
      </c>
      <c r="Y1727">
        <v>40</v>
      </c>
      <c r="Z1727">
        <v>3621</v>
      </c>
      <c r="AA1727" s="13">
        <f t="shared" si="89"/>
        <v>15224900</v>
      </c>
      <c r="AE1727" s="43"/>
      <c r="AL1727" s="87" t="s">
        <v>819</v>
      </c>
      <c r="AM1727" s="86">
        <v>529000</v>
      </c>
    </row>
    <row r="1728" spans="13:39" hidden="1">
      <c r="M1728" s="131">
        <v>16180018</v>
      </c>
      <c r="N1728" s="223">
        <v>35838387</v>
      </c>
      <c r="O1728" s="132" t="s">
        <v>248</v>
      </c>
      <c r="P1728" s="132" t="s">
        <v>245</v>
      </c>
      <c r="Q1728" s="135" t="s">
        <v>254</v>
      </c>
      <c r="R1728" s="132" t="s">
        <v>318</v>
      </c>
      <c r="S1728" s="132" t="s">
        <v>793</v>
      </c>
      <c r="T1728" s="134">
        <v>42190</v>
      </c>
      <c r="U1728" s="172">
        <f t="shared" si="90"/>
        <v>2015</v>
      </c>
      <c r="V1728" s="172">
        <f t="shared" si="91"/>
        <v>7</v>
      </c>
      <c r="W1728" s="114" t="s">
        <v>323</v>
      </c>
      <c r="X1728" t="s">
        <v>892</v>
      </c>
      <c r="Y1728">
        <v>206</v>
      </c>
      <c r="Z1728">
        <v>6763</v>
      </c>
      <c r="AA1728" s="13">
        <f t="shared" si="89"/>
        <v>16180018</v>
      </c>
      <c r="AE1728" s="43"/>
      <c r="AL1728" s="87" t="s">
        <v>819</v>
      </c>
      <c r="AM1728" s="86">
        <v>529265</v>
      </c>
    </row>
    <row r="1729" spans="13:39" ht="30" hidden="1">
      <c r="M1729" s="131">
        <v>17016137</v>
      </c>
      <c r="N1729" s="223">
        <v>3541413</v>
      </c>
      <c r="O1729" s="132" t="s">
        <v>248</v>
      </c>
      <c r="P1729" s="132" t="s">
        <v>245</v>
      </c>
      <c r="Q1729" s="133">
        <v>201</v>
      </c>
      <c r="R1729" s="132" t="s">
        <v>324</v>
      </c>
      <c r="S1729" s="132" t="s">
        <v>793</v>
      </c>
      <c r="T1729" s="134">
        <v>42169</v>
      </c>
      <c r="U1729" s="172">
        <f t="shared" si="90"/>
        <v>2015</v>
      </c>
      <c r="V1729" s="172">
        <f t="shared" si="91"/>
        <v>6</v>
      </c>
      <c r="W1729" s="114" t="s">
        <v>325</v>
      </c>
      <c r="X1729" t="s">
        <v>892</v>
      </c>
      <c r="Y1729">
        <v>50</v>
      </c>
      <c r="Z1729">
        <v>4767</v>
      </c>
      <c r="AA1729" s="13">
        <f t="shared" si="89"/>
        <v>17016137</v>
      </c>
      <c r="AE1729" s="43"/>
      <c r="AL1729" s="87" t="s">
        <v>819</v>
      </c>
      <c r="AM1729" s="86">
        <v>529569</v>
      </c>
    </row>
    <row r="1730" spans="13:39" hidden="1">
      <c r="M1730" s="131">
        <v>17740717</v>
      </c>
      <c r="N1730" s="223">
        <v>26787954</v>
      </c>
      <c r="O1730" s="132" t="s">
        <v>248</v>
      </c>
      <c r="P1730" s="132" t="s">
        <v>245</v>
      </c>
      <c r="Q1730" s="133">
        <v>13</v>
      </c>
      <c r="R1730" s="132" t="s">
        <v>318</v>
      </c>
      <c r="S1730" s="132" t="s">
        <v>793</v>
      </c>
      <c r="T1730" s="134">
        <v>42218</v>
      </c>
      <c r="U1730" s="172">
        <f t="shared" si="90"/>
        <v>2015</v>
      </c>
      <c r="V1730" s="172">
        <f t="shared" si="91"/>
        <v>8</v>
      </c>
      <c r="W1730" s="114" t="s">
        <v>322</v>
      </c>
      <c r="X1730" t="s">
        <v>892</v>
      </c>
      <c r="Y1730">
        <v>107</v>
      </c>
      <c r="Z1730">
        <v>9113</v>
      </c>
      <c r="AA1730" s="13">
        <f t="shared" si="89"/>
        <v>17740717</v>
      </c>
      <c r="AE1730" s="43"/>
      <c r="AL1730" s="87" t="s">
        <v>819</v>
      </c>
      <c r="AM1730" s="86">
        <v>529569</v>
      </c>
    </row>
    <row r="1731" spans="13:39" hidden="1">
      <c r="M1731" s="131">
        <v>18893333</v>
      </c>
      <c r="N1731" s="223">
        <v>29999514</v>
      </c>
      <c r="O1731" s="132" t="s">
        <v>248</v>
      </c>
      <c r="P1731" s="132" t="s">
        <v>245</v>
      </c>
      <c r="Q1731" s="135" t="s">
        <v>256</v>
      </c>
      <c r="R1731" s="132" t="s">
        <v>318</v>
      </c>
      <c r="S1731" s="132" t="s">
        <v>793</v>
      </c>
      <c r="T1731" s="134">
        <v>42190</v>
      </c>
      <c r="U1731" s="172">
        <f t="shared" si="90"/>
        <v>2015</v>
      </c>
      <c r="V1731" s="172">
        <f t="shared" si="91"/>
        <v>7</v>
      </c>
      <c r="W1731" s="114" t="s">
        <v>323</v>
      </c>
      <c r="X1731" t="s">
        <v>892</v>
      </c>
      <c r="Y1731">
        <v>129</v>
      </c>
      <c r="Z1731">
        <v>9402</v>
      </c>
      <c r="AA1731" s="13">
        <f t="shared" si="89"/>
        <v>18893333</v>
      </c>
      <c r="AE1731" s="43"/>
      <c r="AL1731" s="87" t="s">
        <v>819</v>
      </c>
      <c r="AM1731" s="86">
        <v>529836</v>
      </c>
    </row>
    <row r="1732" spans="13:39" ht="30" hidden="1">
      <c r="M1732" s="131">
        <v>19399380</v>
      </c>
      <c r="N1732" s="223">
        <v>4047670</v>
      </c>
      <c r="O1732" s="132" t="s">
        <v>248</v>
      </c>
      <c r="P1732" s="132" t="s">
        <v>245</v>
      </c>
      <c r="Q1732" s="133">
        <v>101</v>
      </c>
      <c r="R1732" s="132" t="s">
        <v>326</v>
      </c>
      <c r="S1732" s="132" t="s">
        <v>793</v>
      </c>
      <c r="T1732" s="134">
        <v>41717</v>
      </c>
      <c r="U1732" s="172">
        <f t="shared" si="90"/>
        <v>2014</v>
      </c>
      <c r="V1732" s="172">
        <f t="shared" si="91"/>
        <v>3</v>
      </c>
      <c r="W1732" s="114" t="s">
        <v>327</v>
      </c>
      <c r="X1732" t="s">
        <v>892</v>
      </c>
      <c r="Y1732">
        <v>60</v>
      </c>
      <c r="Z1732">
        <v>4858</v>
      </c>
      <c r="AA1732" s="13">
        <f t="shared" ref="AA1732:AA1795" si="92">IF(M1732&lt;30000,Y1732*100*M1732*(1-$L$1)-$L$2*Y1732,M1732)</f>
        <v>19399380</v>
      </c>
      <c r="AE1732" s="43"/>
      <c r="AL1732" s="87" t="s">
        <v>819</v>
      </c>
      <c r="AM1732" s="86">
        <v>530138</v>
      </c>
    </row>
    <row r="1733" spans="13:39" ht="30" hidden="1">
      <c r="M1733" s="131">
        <v>24597622</v>
      </c>
      <c r="N1733" s="223">
        <v>4882948</v>
      </c>
      <c r="O1733" s="132" t="s">
        <v>248</v>
      </c>
      <c r="P1733" s="132" t="s">
        <v>245</v>
      </c>
      <c r="Q1733" s="133">
        <v>202</v>
      </c>
      <c r="R1733" s="132" t="s">
        <v>324</v>
      </c>
      <c r="S1733" s="132" t="s">
        <v>793</v>
      </c>
      <c r="T1733" s="134">
        <v>42169</v>
      </c>
      <c r="U1733" s="172">
        <f t="shared" si="90"/>
        <v>2015</v>
      </c>
      <c r="V1733" s="172">
        <f t="shared" si="91"/>
        <v>6</v>
      </c>
      <c r="W1733" s="114" t="s">
        <v>325</v>
      </c>
      <c r="X1733" t="s">
        <v>892</v>
      </c>
      <c r="Y1733">
        <v>70</v>
      </c>
      <c r="Z1733">
        <v>6425</v>
      </c>
      <c r="AA1733" s="13">
        <f t="shared" si="92"/>
        <v>24597622</v>
      </c>
      <c r="AE1733" s="43"/>
      <c r="AL1733" s="87" t="s">
        <v>819</v>
      </c>
      <c r="AM1733" s="86">
        <v>530138</v>
      </c>
    </row>
    <row r="1734" spans="13:39" hidden="1">
      <c r="M1734" s="131">
        <v>6420</v>
      </c>
      <c r="N1734" s="223">
        <v>30912476</v>
      </c>
      <c r="O1734" s="132" t="s">
        <v>248</v>
      </c>
      <c r="P1734" s="132" t="s">
        <v>251</v>
      </c>
      <c r="Q1734" s="133">
        <v>7</v>
      </c>
      <c r="R1734" s="132" t="s">
        <v>379</v>
      </c>
      <c r="S1734" s="132" t="s">
        <v>801</v>
      </c>
      <c r="T1734" s="134">
        <v>42555</v>
      </c>
      <c r="U1734" s="172">
        <f t="shared" si="90"/>
        <v>2016</v>
      </c>
      <c r="V1734" s="172">
        <f t="shared" si="91"/>
        <v>7</v>
      </c>
      <c r="W1734" s="44" t="s">
        <v>443</v>
      </c>
      <c r="X1734" t="s">
        <v>892</v>
      </c>
      <c r="Y1734">
        <v>264</v>
      </c>
      <c r="Z1734" s="13">
        <v>27673</v>
      </c>
      <c r="AA1734" s="13">
        <f t="shared" si="92"/>
        <v>-4884000</v>
      </c>
      <c r="AE1734" s="43"/>
      <c r="AL1734" s="87" t="s">
        <v>819</v>
      </c>
      <c r="AM1734" s="86">
        <v>530323</v>
      </c>
    </row>
    <row r="1735" spans="13:39" hidden="1">
      <c r="M1735" s="131">
        <v>6818</v>
      </c>
      <c r="N1735" s="223">
        <v>44217153</v>
      </c>
      <c r="O1735" s="132" t="s">
        <v>248</v>
      </c>
      <c r="P1735" s="132" t="s">
        <v>251</v>
      </c>
      <c r="Q1735" s="133">
        <v>5</v>
      </c>
      <c r="R1735" s="132" t="s">
        <v>379</v>
      </c>
      <c r="S1735" s="132" t="s">
        <v>801</v>
      </c>
      <c r="T1735" s="134">
        <v>42555</v>
      </c>
      <c r="U1735" s="172">
        <f t="shared" ref="U1735:U1798" si="93">YEAR($T1735)</f>
        <v>2016</v>
      </c>
      <c r="V1735" s="172">
        <f t="shared" ref="V1735:V1798" si="94">MONTH($T1735)</f>
        <v>7</v>
      </c>
      <c r="W1735" s="44" t="s">
        <v>443</v>
      </c>
      <c r="X1735" t="s">
        <v>892</v>
      </c>
      <c r="Y1735">
        <v>372</v>
      </c>
      <c r="Z1735" s="13">
        <v>24101</v>
      </c>
      <c r="AA1735" s="13">
        <f t="shared" si="92"/>
        <v>4222200</v>
      </c>
      <c r="AE1735" s="43"/>
      <c r="AL1735" s="87" t="s">
        <v>819</v>
      </c>
      <c r="AM1735" s="86">
        <v>530323</v>
      </c>
    </row>
    <row r="1736" spans="13:39" hidden="1">
      <c r="M1736" s="131">
        <v>6838</v>
      </c>
      <c r="N1736" s="223">
        <v>50031003</v>
      </c>
      <c r="O1736" s="132" t="s">
        <v>248</v>
      </c>
      <c r="P1736" s="132" t="s">
        <v>251</v>
      </c>
      <c r="Q1736" s="133">
        <v>6</v>
      </c>
      <c r="R1736" s="132" t="s">
        <v>379</v>
      </c>
      <c r="S1736" s="132" t="s">
        <v>801</v>
      </c>
      <c r="T1736" s="134">
        <v>42576</v>
      </c>
      <c r="U1736" s="172">
        <f t="shared" si="93"/>
        <v>2016</v>
      </c>
      <c r="V1736" s="172">
        <f t="shared" si="94"/>
        <v>7</v>
      </c>
      <c r="W1736" s="44" t="s">
        <v>442</v>
      </c>
      <c r="X1736" t="s">
        <v>892</v>
      </c>
      <c r="Y1736">
        <v>224</v>
      </c>
      <c r="Z1736" s="13">
        <v>22595</v>
      </c>
      <c r="AA1736" s="13">
        <f t="shared" si="92"/>
        <v>2878400</v>
      </c>
      <c r="AE1736" s="43"/>
      <c r="AL1736" s="87" t="s">
        <v>819</v>
      </c>
      <c r="AM1736" s="86">
        <v>530323</v>
      </c>
    </row>
    <row r="1737" spans="13:39" hidden="1">
      <c r="M1737" s="131">
        <v>6846</v>
      </c>
      <c r="N1737" s="223">
        <v>41470166</v>
      </c>
      <c r="O1737" s="132" t="s">
        <v>248</v>
      </c>
      <c r="P1737" s="132" t="s">
        <v>251</v>
      </c>
      <c r="Q1737" s="133">
        <v>3</v>
      </c>
      <c r="R1737" s="132" t="s">
        <v>379</v>
      </c>
      <c r="S1737" s="132" t="s">
        <v>801</v>
      </c>
      <c r="T1737" s="134">
        <v>42611</v>
      </c>
      <c r="U1737" s="172">
        <f t="shared" si="93"/>
        <v>2016</v>
      </c>
      <c r="V1737" s="172">
        <f t="shared" si="94"/>
        <v>8</v>
      </c>
      <c r="W1737" s="44" t="s">
        <v>441</v>
      </c>
      <c r="X1737" t="s">
        <v>892</v>
      </c>
      <c r="Y1737">
        <v>282</v>
      </c>
      <c r="Z1737" s="13">
        <v>16378</v>
      </c>
      <c r="AA1737" s="13">
        <f t="shared" si="92"/>
        <v>3792900</v>
      </c>
      <c r="AE1737" s="43"/>
      <c r="AL1737" s="87" t="s">
        <v>819</v>
      </c>
      <c r="AM1737" s="86">
        <v>530818</v>
      </c>
    </row>
    <row r="1738" spans="13:39" hidden="1">
      <c r="M1738" s="131">
        <v>39555</v>
      </c>
      <c r="N1738" s="222">
        <v>503259</v>
      </c>
      <c r="O1738" s="132" t="s">
        <v>244</v>
      </c>
      <c r="P1738" s="132" t="s">
        <v>245</v>
      </c>
      <c r="Q1738" s="135" t="s">
        <v>479</v>
      </c>
      <c r="R1738" s="132" t="s">
        <v>379</v>
      </c>
      <c r="S1738" s="132" t="s">
        <v>801</v>
      </c>
      <c r="T1738" s="134">
        <v>42169</v>
      </c>
      <c r="U1738" s="172">
        <f t="shared" si="93"/>
        <v>2015</v>
      </c>
      <c r="V1738" s="172">
        <f t="shared" si="94"/>
        <v>6</v>
      </c>
      <c r="W1738" s="44" t="s">
        <v>464</v>
      </c>
      <c r="X1738" t="s">
        <v>892</v>
      </c>
      <c r="Y1738" s="41">
        <v>1</v>
      </c>
      <c r="Z1738" s="13"/>
      <c r="AA1738" s="13">
        <f t="shared" si="92"/>
        <v>39555</v>
      </c>
      <c r="AE1738" s="43"/>
      <c r="AL1738" s="87" t="s">
        <v>819</v>
      </c>
      <c r="AM1738" s="86">
        <v>530818</v>
      </c>
    </row>
    <row r="1739" spans="13:39" hidden="1">
      <c r="M1739" s="131">
        <v>50000</v>
      </c>
      <c r="N1739" s="223">
        <v>477623</v>
      </c>
      <c r="O1739" s="132" t="s">
        <v>244</v>
      </c>
      <c r="P1739" s="132" t="s">
        <v>245</v>
      </c>
      <c r="Q1739" s="135" t="s">
        <v>451</v>
      </c>
      <c r="R1739" s="132" t="s">
        <v>379</v>
      </c>
      <c r="S1739" s="132" t="s">
        <v>801</v>
      </c>
      <c r="T1739" s="134">
        <v>42169</v>
      </c>
      <c r="U1739" s="172">
        <f t="shared" si="93"/>
        <v>2015</v>
      </c>
      <c r="V1739" s="172">
        <f t="shared" si="94"/>
        <v>6</v>
      </c>
      <c r="W1739" s="44" t="s">
        <v>464</v>
      </c>
      <c r="X1739" t="s">
        <v>892</v>
      </c>
      <c r="Y1739" s="41">
        <v>1</v>
      </c>
      <c r="Z1739" s="13"/>
      <c r="AA1739" s="13">
        <f t="shared" si="92"/>
        <v>50000</v>
      </c>
      <c r="AE1739" s="43"/>
      <c r="AL1739" s="87" t="s">
        <v>819</v>
      </c>
      <c r="AM1739" s="86">
        <v>530818</v>
      </c>
    </row>
    <row r="1740" spans="13:39" hidden="1">
      <c r="M1740" s="131">
        <v>55000</v>
      </c>
      <c r="N1740" s="223">
        <v>6168378</v>
      </c>
      <c r="O1740" s="132" t="s">
        <v>248</v>
      </c>
      <c r="P1740" s="132" t="s">
        <v>245</v>
      </c>
      <c r="Q1740" s="133">
        <v>22081</v>
      </c>
      <c r="R1740" s="132" t="s">
        <v>615</v>
      </c>
      <c r="S1740" s="132" t="s">
        <v>801</v>
      </c>
      <c r="T1740" s="134">
        <v>41451</v>
      </c>
      <c r="U1740" s="172">
        <f t="shared" si="93"/>
        <v>2013</v>
      </c>
      <c r="V1740" s="172">
        <f t="shared" si="94"/>
        <v>6</v>
      </c>
      <c r="W1740" s="44" t="s">
        <v>620</v>
      </c>
      <c r="X1740" t="s">
        <v>894</v>
      </c>
      <c r="Y1740" s="41">
        <v>60</v>
      </c>
      <c r="Z1740" s="13">
        <v>3184</v>
      </c>
      <c r="AA1740" s="13">
        <f t="shared" si="92"/>
        <v>55000</v>
      </c>
      <c r="AE1740" s="43"/>
      <c r="AL1740" s="87" t="s">
        <v>819</v>
      </c>
      <c r="AM1740" s="86">
        <v>530975</v>
      </c>
    </row>
    <row r="1741" spans="13:39" hidden="1">
      <c r="M1741" s="131">
        <v>58560</v>
      </c>
      <c r="N1741" s="222">
        <v>382403</v>
      </c>
      <c r="O1741" s="132" t="s">
        <v>244</v>
      </c>
      <c r="P1741" s="132" t="s">
        <v>245</v>
      </c>
      <c r="Q1741" s="135" t="s">
        <v>576</v>
      </c>
      <c r="R1741" s="132" t="s">
        <v>379</v>
      </c>
      <c r="S1741" s="132" t="s">
        <v>801</v>
      </c>
      <c r="T1741" s="134">
        <v>42169</v>
      </c>
      <c r="U1741" s="172">
        <f t="shared" si="93"/>
        <v>2015</v>
      </c>
      <c r="V1741" s="172">
        <f t="shared" si="94"/>
        <v>6</v>
      </c>
      <c r="W1741" s="44" t="s">
        <v>464</v>
      </c>
      <c r="X1741" t="s">
        <v>892</v>
      </c>
      <c r="Y1741" s="41">
        <v>1</v>
      </c>
      <c r="Z1741" s="13"/>
      <c r="AA1741" s="13">
        <f t="shared" si="92"/>
        <v>58560</v>
      </c>
      <c r="AE1741" s="43"/>
      <c r="AL1741" s="87" t="s">
        <v>819</v>
      </c>
      <c r="AM1741" s="86">
        <v>530975</v>
      </c>
    </row>
    <row r="1742" spans="13:39" hidden="1">
      <c r="M1742" s="131">
        <v>62000</v>
      </c>
      <c r="N1742" s="223">
        <v>392170</v>
      </c>
      <c r="O1742" s="132" t="s">
        <v>244</v>
      </c>
      <c r="P1742" s="132" t="s">
        <v>245</v>
      </c>
      <c r="Q1742" s="135" t="s">
        <v>574</v>
      </c>
      <c r="R1742" s="132" t="s">
        <v>379</v>
      </c>
      <c r="S1742" s="132" t="s">
        <v>801</v>
      </c>
      <c r="T1742" s="134">
        <v>42169</v>
      </c>
      <c r="U1742" s="172">
        <f t="shared" si="93"/>
        <v>2015</v>
      </c>
      <c r="V1742" s="172">
        <f t="shared" si="94"/>
        <v>6</v>
      </c>
      <c r="W1742" s="44" t="s">
        <v>464</v>
      </c>
      <c r="X1742" t="s">
        <v>892</v>
      </c>
      <c r="Y1742" s="41">
        <v>1</v>
      </c>
      <c r="Z1742" s="13"/>
      <c r="AA1742" s="13">
        <f t="shared" si="92"/>
        <v>62000</v>
      </c>
      <c r="AE1742" s="43"/>
      <c r="AL1742" s="87" t="s">
        <v>819</v>
      </c>
      <c r="AM1742" s="86">
        <v>530975</v>
      </c>
    </row>
    <row r="1743" spans="13:39" hidden="1">
      <c r="M1743" s="131">
        <v>64838</v>
      </c>
      <c r="N1743" s="223">
        <v>408039</v>
      </c>
      <c r="O1743" s="132" t="s">
        <v>244</v>
      </c>
      <c r="P1743" s="132" t="s">
        <v>245</v>
      </c>
      <c r="Q1743" s="135" t="s">
        <v>513</v>
      </c>
      <c r="R1743" s="132" t="s">
        <v>379</v>
      </c>
      <c r="S1743" s="132" t="s">
        <v>801</v>
      </c>
      <c r="T1743" s="134">
        <v>42169</v>
      </c>
      <c r="U1743" s="172">
        <f t="shared" si="93"/>
        <v>2015</v>
      </c>
      <c r="V1743" s="172">
        <f t="shared" si="94"/>
        <v>6</v>
      </c>
      <c r="W1743" s="44" t="s">
        <v>464</v>
      </c>
      <c r="X1743" t="s">
        <v>892</v>
      </c>
      <c r="Y1743" s="41">
        <v>1</v>
      </c>
      <c r="Z1743" s="13"/>
      <c r="AA1743" s="13">
        <f t="shared" si="92"/>
        <v>64838</v>
      </c>
      <c r="AE1743" s="43"/>
      <c r="AL1743" s="87" t="s">
        <v>819</v>
      </c>
      <c r="AM1743" s="86">
        <v>530975</v>
      </c>
    </row>
    <row r="1744" spans="13:39" hidden="1">
      <c r="M1744" s="131">
        <v>76258</v>
      </c>
      <c r="N1744" s="223">
        <v>518339</v>
      </c>
      <c r="O1744" s="132" t="s">
        <v>244</v>
      </c>
      <c r="P1744" s="132" t="s">
        <v>245</v>
      </c>
      <c r="Q1744" s="133">
        <v>191</v>
      </c>
      <c r="R1744" s="132" t="s">
        <v>379</v>
      </c>
      <c r="S1744" s="132" t="s">
        <v>801</v>
      </c>
      <c r="T1744" s="134">
        <v>42722</v>
      </c>
      <c r="U1744" s="172">
        <f t="shared" si="93"/>
        <v>2016</v>
      </c>
      <c r="V1744" s="172">
        <f t="shared" si="94"/>
        <v>12</v>
      </c>
      <c r="W1744" s="44" t="s">
        <v>386</v>
      </c>
      <c r="X1744" t="s">
        <v>892</v>
      </c>
      <c r="Y1744">
        <v>1</v>
      </c>
      <c r="Z1744" s="13"/>
      <c r="AA1744" s="13">
        <f t="shared" si="92"/>
        <v>76258</v>
      </c>
      <c r="AE1744" s="43"/>
      <c r="AL1744" s="87" t="s">
        <v>819</v>
      </c>
      <c r="AM1744" s="86">
        <v>530975</v>
      </c>
    </row>
    <row r="1745" spans="13:39" hidden="1">
      <c r="M1745" s="141">
        <v>77000</v>
      </c>
      <c r="N1745" s="223">
        <v>475181</v>
      </c>
      <c r="O1745" s="142" t="s">
        <v>244</v>
      </c>
      <c r="P1745" s="142" t="s">
        <v>245</v>
      </c>
      <c r="Q1745" s="143" t="s">
        <v>544</v>
      </c>
      <c r="R1745" s="142" t="s">
        <v>379</v>
      </c>
      <c r="S1745" s="142" t="s">
        <v>801</v>
      </c>
      <c r="T1745" s="144">
        <v>42169</v>
      </c>
      <c r="U1745" s="172">
        <f t="shared" si="93"/>
        <v>2015</v>
      </c>
      <c r="V1745" s="172">
        <f t="shared" si="94"/>
        <v>6</v>
      </c>
      <c r="W1745" s="97" t="s">
        <v>464</v>
      </c>
      <c r="X1745" t="s">
        <v>892</v>
      </c>
      <c r="Y1745" s="41">
        <v>1</v>
      </c>
      <c r="Z1745" s="13"/>
      <c r="AA1745" s="13">
        <f t="shared" si="92"/>
        <v>77000</v>
      </c>
      <c r="AE1745" s="42"/>
      <c r="AL1745" s="94" t="s">
        <v>819</v>
      </c>
      <c r="AM1745" s="86">
        <v>530998</v>
      </c>
    </row>
    <row r="1746" spans="13:39" hidden="1">
      <c r="M1746" s="141">
        <v>80006</v>
      </c>
      <c r="N1746" s="223">
        <v>570401</v>
      </c>
      <c r="O1746" s="142" t="s">
        <v>244</v>
      </c>
      <c r="P1746" s="142" t="s">
        <v>245</v>
      </c>
      <c r="Q1746" s="143" t="s">
        <v>554</v>
      </c>
      <c r="R1746" s="142" t="s">
        <v>379</v>
      </c>
      <c r="S1746" s="142" t="s">
        <v>801</v>
      </c>
      <c r="T1746" s="144">
        <v>42169</v>
      </c>
      <c r="U1746" s="172">
        <f t="shared" si="93"/>
        <v>2015</v>
      </c>
      <c r="V1746" s="172">
        <f t="shared" si="94"/>
        <v>6</v>
      </c>
      <c r="W1746" s="97" t="s">
        <v>464</v>
      </c>
      <c r="X1746" t="s">
        <v>892</v>
      </c>
      <c r="Y1746" s="41">
        <v>1</v>
      </c>
      <c r="Z1746" s="13"/>
      <c r="AA1746" s="13">
        <f t="shared" si="92"/>
        <v>80006</v>
      </c>
      <c r="AE1746" s="42"/>
      <c r="AL1746" s="94" t="s">
        <v>819</v>
      </c>
      <c r="AM1746" s="86">
        <v>530998</v>
      </c>
    </row>
    <row r="1747" spans="13:39" hidden="1">
      <c r="M1747" s="141">
        <v>81755</v>
      </c>
      <c r="N1747" s="223">
        <v>404378</v>
      </c>
      <c r="O1747" s="142" t="s">
        <v>244</v>
      </c>
      <c r="P1747" s="142" t="s">
        <v>245</v>
      </c>
      <c r="Q1747" s="143" t="s">
        <v>511</v>
      </c>
      <c r="R1747" s="142" t="s">
        <v>379</v>
      </c>
      <c r="S1747" s="142" t="s">
        <v>801</v>
      </c>
      <c r="T1747" s="144">
        <v>42169</v>
      </c>
      <c r="U1747" s="172">
        <f t="shared" si="93"/>
        <v>2015</v>
      </c>
      <c r="V1747" s="172">
        <f t="shared" si="94"/>
        <v>6</v>
      </c>
      <c r="W1747" s="97" t="s">
        <v>464</v>
      </c>
      <c r="X1747" t="s">
        <v>892</v>
      </c>
      <c r="Y1747" s="41">
        <v>1</v>
      </c>
      <c r="Z1747" s="13"/>
      <c r="AA1747" s="13">
        <f t="shared" si="92"/>
        <v>81755</v>
      </c>
      <c r="AE1747" s="42"/>
      <c r="AL1747" s="94" t="s">
        <v>819</v>
      </c>
      <c r="AM1747" s="86">
        <v>531544</v>
      </c>
    </row>
    <row r="1748" spans="13:39" hidden="1">
      <c r="M1748" s="141">
        <v>82000</v>
      </c>
      <c r="N1748" s="223">
        <v>389728</v>
      </c>
      <c r="O1748" s="142" t="s">
        <v>244</v>
      </c>
      <c r="P1748" s="142" t="s">
        <v>245</v>
      </c>
      <c r="Q1748" s="143" t="s">
        <v>496</v>
      </c>
      <c r="R1748" s="142" t="s">
        <v>379</v>
      </c>
      <c r="S1748" s="142" t="s">
        <v>801</v>
      </c>
      <c r="T1748" s="144">
        <v>42169</v>
      </c>
      <c r="U1748" s="172">
        <f t="shared" si="93"/>
        <v>2015</v>
      </c>
      <c r="V1748" s="172">
        <f t="shared" si="94"/>
        <v>6</v>
      </c>
      <c r="W1748" s="97" t="s">
        <v>464</v>
      </c>
      <c r="X1748" t="s">
        <v>892</v>
      </c>
      <c r="Y1748" s="41">
        <v>1</v>
      </c>
      <c r="Z1748" s="13"/>
      <c r="AA1748" s="13">
        <f t="shared" si="92"/>
        <v>82000</v>
      </c>
      <c r="AE1748" s="42"/>
      <c r="AL1748" s="88" t="s">
        <v>819</v>
      </c>
      <c r="AM1748" s="86">
        <v>532557</v>
      </c>
    </row>
    <row r="1749" spans="13:39" hidden="1">
      <c r="M1749" s="141">
        <v>82297</v>
      </c>
      <c r="N1749" s="223">
        <v>428793</v>
      </c>
      <c r="O1749" s="142" t="s">
        <v>244</v>
      </c>
      <c r="P1749" s="142" t="s">
        <v>245</v>
      </c>
      <c r="Q1749" s="143" t="s">
        <v>540</v>
      </c>
      <c r="R1749" s="142" t="s">
        <v>379</v>
      </c>
      <c r="S1749" s="142" t="s">
        <v>801</v>
      </c>
      <c r="T1749" s="144">
        <v>42169</v>
      </c>
      <c r="U1749" s="172">
        <f t="shared" si="93"/>
        <v>2015</v>
      </c>
      <c r="V1749" s="172">
        <f t="shared" si="94"/>
        <v>6</v>
      </c>
      <c r="W1749" s="97" t="s">
        <v>464</v>
      </c>
      <c r="X1749" t="s">
        <v>892</v>
      </c>
      <c r="Y1749" s="41">
        <v>1</v>
      </c>
      <c r="Z1749" s="13"/>
      <c r="AA1749" s="13">
        <f t="shared" si="92"/>
        <v>82297</v>
      </c>
      <c r="AE1749" s="42"/>
      <c r="AL1749" s="94" t="s">
        <v>819</v>
      </c>
      <c r="AM1749" s="86">
        <v>532683</v>
      </c>
    </row>
    <row r="1750" spans="13:39" hidden="1">
      <c r="M1750" s="141">
        <v>84677</v>
      </c>
      <c r="N1750" s="223">
        <v>421468</v>
      </c>
      <c r="O1750" s="142" t="s">
        <v>244</v>
      </c>
      <c r="P1750" s="142" t="s">
        <v>245</v>
      </c>
      <c r="Q1750" s="143" t="s">
        <v>578</v>
      </c>
      <c r="R1750" s="142" t="s">
        <v>379</v>
      </c>
      <c r="S1750" s="142" t="s">
        <v>801</v>
      </c>
      <c r="T1750" s="144">
        <v>42169</v>
      </c>
      <c r="U1750" s="172">
        <f t="shared" si="93"/>
        <v>2015</v>
      </c>
      <c r="V1750" s="172">
        <f t="shared" si="94"/>
        <v>6</v>
      </c>
      <c r="W1750" s="99" t="s">
        <v>464</v>
      </c>
      <c r="X1750" t="s">
        <v>892</v>
      </c>
      <c r="Y1750" s="41">
        <v>1</v>
      </c>
      <c r="Z1750" s="13"/>
      <c r="AA1750" s="13">
        <f t="shared" si="92"/>
        <v>84677</v>
      </c>
      <c r="AE1750" s="42"/>
      <c r="AL1750" s="94" t="s">
        <v>819</v>
      </c>
      <c r="AM1750" s="86">
        <v>532683</v>
      </c>
    </row>
    <row r="1751" spans="13:39" hidden="1">
      <c r="M1751" s="141">
        <v>90000</v>
      </c>
      <c r="N1751" s="223">
        <v>411702</v>
      </c>
      <c r="O1751" s="142" t="s">
        <v>244</v>
      </c>
      <c r="P1751" s="142" t="s">
        <v>245</v>
      </c>
      <c r="Q1751" s="143" t="s">
        <v>575</v>
      </c>
      <c r="R1751" s="142" t="s">
        <v>379</v>
      </c>
      <c r="S1751" s="142" t="s">
        <v>801</v>
      </c>
      <c r="T1751" s="144">
        <v>42169</v>
      </c>
      <c r="U1751" s="172">
        <f t="shared" si="93"/>
        <v>2015</v>
      </c>
      <c r="V1751" s="172">
        <f t="shared" si="94"/>
        <v>6</v>
      </c>
      <c r="W1751" s="97" t="s">
        <v>464</v>
      </c>
      <c r="X1751" t="s">
        <v>892</v>
      </c>
      <c r="Y1751" s="41">
        <v>1</v>
      </c>
      <c r="Z1751" s="13"/>
      <c r="AA1751" s="13">
        <f t="shared" si="92"/>
        <v>90000</v>
      </c>
      <c r="AE1751" s="42"/>
      <c r="AL1751" s="94" t="s">
        <v>819</v>
      </c>
      <c r="AM1751" s="86">
        <v>532683</v>
      </c>
    </row>
    <row r="1752" spans="13:39" hidden="1">
      <c r="M1752" s="141">
        <v>91999</v>
      </c>
      <c r="N1752" s="223">
        <v>393391</v>
      </c>
      <c r="O1752" s="142" t="s">
        <v>244</v>
      </c>
      <c r="P1752" s="142" t="s">
        <v>245</v>
      </c>
      <c r="Q1752" s="143" t="s">
        <v>450</v>
      </c>
      <c r="R1752" s="142" t="s">
        <v>379</v>
      </c>
      <c r="S1752" s="142" t="s">
        <v>801</v>
      </c>
      <c r="T1752" s="144">
        <v>42169</v>
      </c>
      <c r="U1752" s="172">
        <f t="shared" si="93"/>
        <v>2015</v>
      </c>
      <c r="V1752" s="172">
        <f t="shared" si="94"/>
        <v>6</v>
      </c>
      <c r="W1752" s="97" t="s">
        <v>464</v>
      </c>
      <c r="X1752" t="s">
        <v>892</v>
      </c>
      <c r="Y1752" s="41">
        <v>1</v>
      </c>
      <c r="Z1752" s="13"/>
      <c r="AA1752" s="13">
        <f t="shared" si="92"/>
        <v>91999</v>
      </c>
      <c r="AE1752" s="42"/>
      <c r="AL1752" s="94" t="s">
        <v>819</v>
      </c>
      <c r="AM1752" s="86">
        <v>532683</v>
      </c>
    </row>
    <row r="1753" spans="13:39" hidden="1">
      <c r="M1753" s="141">
        <v>92820</v>
      </c>
      <c r="N1753" s="223">
        <v>448934</v>
      </c>
      <c r="O1753" s="142" t="s">
        <v>244</v>
      </c>
      <c r="P1753" s="142" t="s">
        <v>245</v>
      </c>
      <c r="Q1753" s="145">
        <v>9</v>
      </c>
      <c r="R1753" s="142" t="s">
        <v>459</v>
      </c>
      <c r="S1753" s="142" t="s">
        <v>801</v>
      </c>
      <c r="T1753" s="144">
        <v>42464</v>
      </c>
      <c r="U1753" s="172">
        <f t="shared" si="93"/>
        <v>2016</v>
      </c>
      <c r="V1753" s="172">
        <f t="shared" si="94"/>
        <v>4</v>
      </c>
      <c r="W1753" s="97" t="s">
        <v>460</v>
      </c>
      <c r="X1753" t="s">
        <v>892</v>
      </c>
      <c r="Y1753">
        <v>1</v>
      </c>
      <c r="Z1753" s="13">
        <v>559</v>
      </c>
      <c r="AA1753" s="13">
        <f t="shared" si="92"/>
        <v>92820</v>
      </c>
      <c r="AE1753" s="42"/>
      <c r="AL1753" s="94" t="s">
        <v>819</v>
      </c>
      <c r="AM1753" s="86">
        <v>532683</v>
      </c>
    </row>
    <row r="1754" spans="13:39" hidden="1">
      <c r="M1754" s="141">
        <v>95130</v>
      </c>
      <c r="N1754" s="223">
        <v>517908</v>
      </c>
      <c r="O1754" s="142" t="s">
        <v>244</v>
      </c>
      <c r="P1754" s="142" t="s">
        <v>245</v>
      </c>
      <c r="Q1754" s="143" t="s">
        <v>473</v>
      </c>
      <c r="R1754" s="142" t="s">
        <v>379</v>
      </c>
      <c r="S1754" s="142" t="s">
        <v>801</v>
      </c>
      <c r="T1754" s="144">
        <v>42169</v>
      </c>
      <c r="U1754" s="172">
        <f t="shared" si="93"/>
        <v>2015</v>
      </c>
      <c r="V1754" s="172">
        <f t="shared" si="94"/>
        <v>6</v>
      </c>
      <c r="W1754" s="97" t="s">
        <v>464</v>
      </c>
      <c r="X1754" t="s">
        <v>892</v>
      </c>
      <c r="Y1754" s="41">
        <v>1</v>
      </c>
      <c r="Z1754" s="13"/>
      <c r="AA1754" s="13">
        <f t="shared" si="92"/>
        <v>95130</v>
      </c>
      <c r="AE1754" s="42"/>
      <c r="AL1754" s="94" t="s">
        <v>819</v>
      </c>
      <c r="AM1754" s="86">
        <v>532683</v>
      </c>
    </row>
    <row r="1755" spans="13:39" hidden="1">
      <c r="M1755" s="141">
        <v>98927</v>
      </c>
      <c r="N1755" s="223">
        <v>480065</v>
      </c>
      <c r="O1755" s="142" t="s">
        <v>244</v>
      </c>
      <c r="P1755" s="142" t="s">
        <v>245</v>
      </c>
      <c r="Q1755" s="143" t="s">
        <v>584</v>
      </c>
      <c r="R1755" s="142" t="s">
        <v>379</v>
      </c>
      <c r="S1755" s="142" t="s">
        <v>801</v>
      </c>
      <c r="T1755" s="144">
        <v>42169</v>
      </c>
      <c r="U1755" s="172">
        <f t="shared" si="93"/>
        <v>2015</v>
      </c>
      <c r="V1755" s="172">
        <f t="shared" si="94"/>
        <v>6</v>
      </c>
      <c r="W1755" s="97" t="s">
        <v>464</v>
      </c>
      <c r="X1755" t="s">
        <v>892</v>
      </c>
      <c r="Y1755" s="41">
        <v>1</v>
      </c>
      <c r="Z1755" s="13"/>
      <c r="AA1755" s="13">
        <f t="shared" si="92"/>
        <v>98927</v>
      </c>
      <c r="AE1755" s="42"/>
      <c r="AL1755" s="94" t="s">
        <v>819</v>
      </c>
      <c r="AM1755" s="86">
        <v>532683</v>
      </c>
    </row>
    <row r="1756" spans="13:39" hidden="1">
      <c r="M1756" s="141">
        <v>100002</v>
      </c>
      <c r="N1756" s="222">
        <v>375079</v>
      </c>
      <c r="O1756" s="142" t="s">
        <v>244</v>
      </c>
      <c r="P1756" s="142" t="s">
        <v>245</v>
      </c>
      <c r="Q1756" s="143" t="s">
        <v>556</v>
      </c>
      <c r="R1756" s="142" t="s">
        <v>379</v>
      </c>
      <c r="S1756" s="142" t="s">
        <v>801</v>
      </c>
      <c r="T1756" s="144">
        <v>42169</v>
      </c>
      <c r="U1756" s="172">
        <f t="shared" si="93"/>
        <v>2015</v>
      </c>
      <c r="V1756" s="172">
        <f t="shared" si="94"/>
        <v>6</v>
      </c>
      <c r="W1756" s="97" t="s">
        <v>464</v>
      </c>
      <c r="X1756" t="s">
        <v>892</v>
      </c>
      <c r="Y1756" s="41">
        <v>1</v>
      </c>
      <c r="Z1756" s="13"/>
      <c r="AA1756" s="13">
        <f t="shared" si="92"/>
        <v>100002</v>
      </c>
      <c r="AE1756" s="42"/>
      <c r="AL1756" s="94" t="s">
        <v>819</v>
      </c>
      <c r="AM1756" s="86">
        <v>532683</v>
      </c>
    </row>
    <row r="1757" spans="13:39" hidden="1">
      <c r="M1757" s="141">
        <v>100520</v>
      </c>
      <c r="N1757" s="223">
        <v>420247</v>
      </c>
      <c r="O1757" s="142" t="s">
        <v>244</v>
      </c>
      <c r="P1757" s="142" t="s">
        <v>245</v>
      </c>
      <c r="Q1757" s="143" t="s">
        <v>492</v>
      </c>
      <c r="R1757" s="142" t="s">
        <v>379</v>
      </c>
      <c r="S1757" s="142" t="s">
        <v>801</v>
      </c>
      <c r="T1757" s="144">
        <v>42169</v>
      </c>
      <c r="U1757" s="172">
        <f t="shared" si="93"/>
        <v>2015</v>
      </c>
      <c r="V1757" s="172">
        <f t="shared" si="94"/>
        <v>6</v>
      </c>
      <c r="W1757" s="97" t="s">
        <v>464</v>
      </c>
      <c r="X1757" t="s">
        <v>892</v>
      </c>
      <c r="Y1757" s="41">
        <v>1</v>
      </c>
      <c r="Z1757" s="13"/>
      <c r="AA1757" s="13">
        <f t="shared" si="92"/>
        <v>100520</v>
      </c>
      <c r="AE1757" s="42"/>
      <c r="AL1757" s="88" t="s">
        <v>819</v>
      </c>
      <c r="AM1757" s="86">
        <v>532829</v>
      </c>
    </row>
    <row r="1758" spans="13:39" hidden="1">
      <c r="M1758" s="141">
        <v>100520</v>
      </c>
      <c r="N1758" s="223">
        <v>420247</v>
      </c>
      <c r="O1758" s="142" t="s">
        <v>244</v>
      </c>
      <c r="P1758" s="142" t="s">
        <v>245</v>
      </c>
      <c r="Q1758" s="143" t="s">
        <v>515</v>
      </c>
      <c r="R1758" s="142" t="s">
        <v>379</v>
      </c>
      <c r="S1758" s="142" t="s">
        <v>801</v>
      </c>
      <c r="T1758" s="144">
        <v>42169</v>
      </c>
      <c r="U1758" s="172">
        <f t="shared" si="93"/>
        <v>2015</v>
      </c>
      <c r="V1758" s="172">
        <f t="shared" si="94"/>
        <v>6</v>
      </c>
      <c r="W1758" s="97" t="s">
        <v>464</v>
      </c>
      <c r="X1758" t="s">
        <v>892</v>
      </c>
      <c r="Y1758" s="41">
        <v>1</v>
      </c>
      <c r="Z1758" s="13"/>
      <c r="AA1758" s="13">
        <f t="shared" si="92"/>
        <v>100520</v>
      </c>
      <c r="AE1758" s="42"/>
      <c r="AL1758" s="94" t="s">
        <v>819</v>
      </c>
      <c r="AM1758" s="86">
        <v>532980</v>
      </c>
    </row>
    <row r="1759" spans="13:39" hidden="1">
      <c r="M1759" s="141">
        <v>100700</v>
      </c>
      <c r="N1759" s="223">
        <v>389728</v>
      </c>
      <c r="O1759" s="142" t="s">
        <v>244</v>
      </c>
      <c r="P1759" s="142" t="s">
        <v>245</v>
      </c>
      <c r="Q1759" s="143" t="s">
        <v>532</v>
      </c>
      <c r="R1759" s="142" t="s">
        <v>379</v>
      </c>
      <c r="S1759" s="142" t="s">
        <v>801</v>
      </c>
      <c r="T1759" s="144">
        <v>42169</v>
      </c>
      <c r="U1759" s="172">
        <f t="shared" si="93"/>
        <v>2015</v>
      </c>
      <c r="V1759" s="172">
        <f t="shared" si="94"/>
        <v>6</v>
      </c>
      <c r="W1759" s="97" t="s">
        <v>464</v>
      </c>
      <c r="X1759" t="s">
        <v>892</v>
      </c>
      <c r="Y1759" s="41">
        <v>1</v>
      </c>
      <c r="Z1759" s="13"/>
      <c r="AA1759" s="13">
        <f t="shared" si="92"/>
        <v>100700</v>
      </c>
      <c r="AE1759" s="42"/>
      <c r="AL1759" s="94" t="s">
        <v>819</v>
      </c>
      <c r="AM1759" s="86">
        <v>533822</v>
      </c>
    </row>
    <row r="1760" spans="13:39" hidden="1">
      <c r="M1760" s="141">
        <v>100777</v>
      </c>
      <c r="N1760" s="222">
        <v>367755</v>
      </c>
      <c r="O1760" s="142" t="s">
        <v>244</v>
      </c>
      <c r="P1760" s="142" t="s">
        <v>245</v>
      </c>
      <c r="Q1760" s="143" t="s">
        <v>581</v>
      </c>
      <c r="R1760" s="142" t="s">
        <v>379</v>
      </c>
      <c r="S1760" s="142" t="s">
        <v>801</v>
      </c>
      <c r="T1760" s="144">
        <v>42169</v>
      </c>
      <c r="U1760" s="172">
        <f t="shared" si="93"/>
        <v>2015</v>
      </c>
      <c r="V1760" s="172">
        <f t="shared" si="94"/>
        <v>6</v>
      </c>
      <c r="W1760" s="97" t="s">
        <v>464</v>
      </c>
      <c r="X1760" t="s">
        <v>892</v>
      </c>
      <c r="Y1760" s="41">
        <v>1</v>
      </c>
      <c r="Z1760" s="13"/>
      <c r="AA1760" s="13">
        <f t="shared" si="92"/>
        <v>100777</v>
      </c>
      <c r="AE1760" s="42"/>
      <c r="AL1760" s="94" t="s">
        <v>819</v>
      </c>
      <c r="AM1760" s="86">
        <v>534467</v>
      </c>
    </row>
    <row r="1761" spans="13:39" hidden="1">
      <c r="M1761" s="141">
        <v>101000</v>
      </c>
      <c r="N1761" s="222">
        <v>375079</v>
      </c>
      <c r="O1761" s="142" t="s">
        <v>244</v>
      </c>
      <c r="P1761" s="142" t="s">
        <v>245</v>
      </c>
      <c r="Q1761" s="143" t="s">
        <v>555</v>
      </c>
      <c r="R1761" s="142" t="s">
        <v>379</v>
      </c>
      <c r="S1761" s="142" t="s">
        <v>801</v>
      </c>
      <c r="T1761" s="144">
        <v>42169</v>
      </c>
      <c r="U1761" s="172">
        <f t="shared" si="93"/>
        <v>2015</v>
      </c>
      <c r="V1761" s="172">
        <f t="shared" si="94"/>
        <v>6</v>
      </c>
      <c r="W1761" s="97" t="s">
        <v>464</v>
      </c>
      <c r="X1761" t="s">
        <v>892</v>
      </c>
      <c r="Y1761" s="41">
        <v>1</v>
      </c>
      <c r="Z1761" s="13"/>
      <c r="AA1761" s="13">
        <f t="shared" si="92"/>
        <v>101000</v>
      </c>
      <c r="AE1761" s="42"/>
      <c r="AL1761" s="94" t="s">
        <v>819</v>
      </c>
      <c r="AM1761" s="86">
        <v>534695</v>
      </c>
    </row>
    <row r="1762" spans="13:39" hidden="1">
      <c r="M1762" s="141">
        <v>101000</v>
      </c>
      <c r="N1762" s="223">
        <v>411702</v>
      </c>
      <c r="O1762" s="142" t="s">
        <v>244</v>
      </c>
      <c r="P1762" s="142" t="s">
        <v>245</v>
      </c>
      <c r="Q1762" s="143" t="s">
        <v>545</v>
      </c>
      <c r="R1762" s="142" t="s">
        <v>379</v>
      </c>
      <c r="S1762" s="142" t="s">
        <v>801</v>
      </c>
      <c r="T1762" s="144">
        <v>42169</v>
      </c>
      <c r="U1762" s="172">
        <f t="shared" si="93"/>
        <v>2015</v>
      </c>
      <c r="V1762" s="172">
        <f t="shared" si="94"/>
        <v>6</v>
      </c>
      <c r="W1762" s="97" t="s">
        <v>464</v>
      </c>
      <c r="X1762" t="s">
        <v>892</v>
      </c>
      <c r="Y1762" s="41">
        <v>1</v>
      </c>
      <c r="Z1762" s="13"/>
      <c r="AA1762" s="13">
        <f t="shared" si="92"/>
        <v>101000</v>
      </c>
      <c r="AE1762" s="42"/>
      <c r="AL1762" s="94" t="s">
        <v>819</v>
      </c>
      <c r="AM1762" s="86">
        <v>534962</v>
      </c>
    </row>
    <row r="1763" spans="13:39" hidden="1">
      <c r="M1763" s="141">
        <v>101000</v>
      </c>
      <c r="N1763" s="223">
        <v>520349</v>
      </c>
      <c r="O1763" s="142" t="s">
        <v>244</v>
      </c>
      <c r="P1763" s="142" t="s">
        <v>245</v>
      </c>
      <c r="Q1763" s="143" t="s">
        <v>475</v>
      </c>
      <c r="R1763" s="142" t="s">
        <v>379</v>
      </c>
      <c r="S1763" s="142" t="s">
        <v>801</v>
      </c>
      <c r="T1763" s="144">
        <v>42169</v>
      </c>
      <c r="U1763" s="172">
        <f t="shared" si="93"/>
        <v>2015</v>
      </c>
      <c r="V1763" s="172">
        <f t="shared" si="94"/>
        <v>6</v>
      </c>
      <c r="W1763" s="97" t="s">
        <v>464</v>
      </c>
      <c r="X1763" t="s">
        <v>892</v>
      </c>
      <c r="Y1763" s="41">
        <v>1</v>
      </c>
      <c r="Z1763" s="13"/>
      <c r="AA1763" s="13">
        <f t="shared" si="92"/>
        <v>101000</v>
      </c>
      <c r="AE1763" s="42"/>
      <c r="AL1763" s="94" t="s">
        <v>819</v>
      </c>
      <c r="AM1763" s="86">
        <v>535530</v>
      </c>
    </row>
    <row r="1764" spans="13:39" hidden="1">
      <c r="M1764" s="141">
        <v>101100</v>
      </c>
      <c r="N1764" s="223">
        <v>389728</v>
      </c>
      <c r="O1764" s="142" t="s">
        <v>244</v>
      </c>
      <c r="P1764" s="142" t="s">
        <v>245</v>
      </c>
      <c r="Q1764" s="143" t="s">
        <v>533</v>
      </c>
      <c r="R1764" s="142" t="s">
        <v>379</v>
      </c>
      <c r="S1764" s="142" t="s">
        <v>801</v>
      </c>
      <c r="T1764" s="144">
        <v>42169</v>
      </c>
      <c r="U1764" s="172">
        <f t="shared" si="93"/>
        <v>2015</v>
      </c>
      <c r="V1764" s="172">
        <f t="shared" si="94"/>
        <v>6</v>
      </c>
      <c r="W1764" s="97" t="s">
        <v>464</v>
      </c>
      <c r="X1764" t="s">
        <v>892</v>
      </c>
      <c r="Y1764" s="41">
        <v>1</v>
      </c>
      <c r="Z1764" s="13"/>
      <c r="AA1764" s="13">
        <f t="shared" si="92"/>
        <v>101100</v>
      </c>
      <c r="AE1764" s="42"/>
      <c r="AL1764" s="94" t="s">
        <v>819</v>
      </c>
      <c r="AM1764" s="86">
        <v>535530</v>
      </c>
    </row>
    <row r="1765" spans="13:39" hidden="1">
      <c r="M1765" s="141">
        <v>102108</v>
      </c>
      <c r="N1765" s="223">
        <v>394611</v>
      </c>
      <c r="O1765" s="142" t="s">
        <v>244</v>
      </c>
      <c r="P1765" s="142" t="s">
        <v>245</v>
      </c>
      <c r="Q1765" s="143" t="s">
        <v>524</v>
      </c>
      <c r="R1765" s="142" t="s">
        <v>379</v>
      </c>
      <c r="S1765" s="142" t="s">
        <v>801</v>
      </c>
      <c r="T1765" s="144">
        <v>42169</v>
      </c>
      <c r="U1765" s="172">
        <f t="shared" si="93"/>
        <v>2015</v>
      </c>
      <c r="V1765" s="172">
        <f t="shared" si="94"/>
        <v>6</v>
      </c>
      <c r="W1765" s="97" t="s">
        <v>464</v>
      </c>
      <c r="X1765" t="s">
        <v>892</v>
      </c>
      <c r="Y1765" s="41">
        <v>1</v>
      </c>
      <c r="Z1765" s="13"/>
      <c r="AA1765" s="13">
        <f t="shared" si="92"/>
        <v>102108</v>
      </c>
      <c r="AE1765" s="42"/>
      <c r="AL1765" s="94" t="s">
        <v>819</v>
      </c>
      <c r="AM1765" s="86">
        <v>536101</v>
      </c>
    </row>
    <row r="1766" spans="13:39" hidden="1">
      <c r="M1766" s="141">
        <v>102300</v>
      </c>
      <c r="N1766" s="222">
        <v>375079</v>
      </c>
      <c r="O1766" s="142" t="s">
        <v>244</v>
      </c>
      <c r="P1766" s="142" t="s">
        <v>245</v>
      </c>
      <c r="Q1766" s="143" t="s">
        <v>557</v>
      </c>
      <c r="R1766" s="142" t="s">
        <v>379</v>
      </c>
      <c r="S1766" s="142" t="s">
        <v>801</v>
      </c>
      <c r="T1766" s="144">
        <v>42169</v>
      </c>
      <c r="U1766" s="172">
        <f t="shared" si="93"/>
        <v>2015</v>
      </c>
      <c r="V1766" s="172">
        <f t="shared" si="94"/>
        <v>6</v>
      </c>
      <c r="W1766" s="97" t="s">
        <v>464</v>
      </c>
      <c r="X1766" t="s">
        <v>892</v>
      </c>
      <c r="Y1766" s="41">
        <v>1</v>
      </c>
      <c r="Z1766" s="13"/>
      <c r="AA1766" s="13">
        <f t="shared" si="92"/>
        <v>102300</v>
      </c>
      <c r="AE1766" s="42"/>
      <c r="AL1766" s="94" t="s">
        <v>819</v>
      </c>
      <c r="AM1766" s="86">
        <v>536101</v>
      </c>
    </row>
    <row r="1767" spans="13:39" hidden="1">
      <c r="M1767" s="141">
        <v>104000</v>
      </c>
      <c r="N1767" s="223">
        <v>482506</v>
      </c>
      <c r="O1767" s="142" t="s">
        <v>244</v>
      </c>
      <c r="P1767" s="142" t="s">
        <v>245</v>
      </c>
      <c r="Q1767" s="143" t="s">
        <v>477</v>
      </c>
      <c r="R1767" s="142" t="s">
        <v>379</v>
      </c>
      <c r="S1767" s="142" t="s">
        <v>801</v>
      </c>
      <c r="T1767" s="144">
        <v>42169</v>
      </c>
      <c r="U1767" s="172">
        <f t="shared" si="93"/>
        <v>2015</v>
      </c>
      <c r="V1767" s="172">
        <f t="shared" si="94"/>
        <v>6</v>
      </c>
      <c r="W1767" s="97" t="s">
        <v>464</v>
      </c>
      <c r="X1767" t="s">
        <v>892</v>
      </c>
      <c r="Y1767" s="41">
        <v>1</v>
      </c>
      <c r="Z1767" s="13"/>
      <c r="AA1767" s="13">
        <f t="shared" si="92"/>
        <v>104000</v>
      </c>
      <c r="AE1767" s="42"/>
      <c r="AL1767" s="94" t="s">
        <v>819</v>
      </c>
      <c r="AM1767" s="86">
        <v>536101</v>
      </c>
    </row>
    <row r="1768" spans="13:39" hidden="1">
      <c r="M1768" s="141">
        <v>104675</v>
      </c>
      <c r="N1768" s="223">
        <v>389728</v>
      </c>
      <c r="O1768" s="142" t="s">
        <v>244</v>
      </c>
      <c r="P1768" s="142" t="s">
        <v>245</v>
      </c>
      <c r="Q1768" s="143" t="s">
        <v>531</v>
      </c>
      <c r="R1768" s="142" t="s">
        <v>379</v>
      </c>
      <c r="S1768" s="142" t="s">
        <v>801</v>
      </c>
      <c r="T1768" s="144">
        <v>42169</v>
      </c>
      <c r="U1768" s="172">
        <f t="shared" si="93"/>
        <v>2015</v>
      </c>
      <c r="V1768" s="172">
        <f t="shared" si="94"/>
        <v>6</v>
      </c>
      <c r="W1768" s="97" t="s">
        <v>464</v>
      </c>
      <c r="X1768" t="s">
        <v>892</v>
      </c>
      <c r="Y1768" s="41">
        <v>1</v>
      </c>
      <c r="Z1768" s="13"/>
      <c r="AA1768" s="13">
        <f t="shared" si="92"/>
        <v>104675</v>
      </c>
      <c r="AE1768" s="42"/>
      <c r="AL1768" s="88" t="s">
        <v>819</v>
      </c>
      <c r="AM1768" s="86">
        <v>536220</v>
      </c>
    </row>
    <row r="1769" spans="13:39" hidden="1">
      <c r="M1769" s="141">
        <v>105130</v>
      </c>
      <c r="N1769" s="223">
        <v>408039</v>
      </c>
      <c r="O1769" s="142" t="s">
        <v>244</v>
      </c>
      <c r="P1769" s="142" t="s">
        <v>245</v>
      </c>
      <c r="Q1769" s="143" t="s">
        <v>465</v>
      </c>
      <c r="R1769" s="142" t="s">
        <v>379</v>
      </c>
      <c r="S1769" s="142" t="s">
        <v>801</v>
      </c>
      <c r="T1769" s="144">
        <v>42169</v>
      </c>
      <c r="U1769" s="172">
        <f t="shared" si="93"/>
        <v>2015</v>
      </c>
      <c r="V1769" s="172">
        <f t="shared" si="94"/>
        <v>6</v>
      </c>
      <c r="W1769" s="97" t="s">
        <v>464</v>
      </c>
      <c r="X1769" t="s">
        <v>892</v>
      </c>
      <c r="Y1769" s="41">
        <v>1</v>
      </c>
      <c r="Z1769" s="13"/>
      <c r="AA1769" s="13">
        <f t="shared" si="92"/>
        <v>105130</v>
      </c>
      <c r="AE1769" s="42"/>
      <c r="AL1769" s="94" t="s">
        <v>819</v>
      </c>
      <c r="AM1769" s="86">
        <v>536450</v>
      </c>
    </row>
    <row r="1770" spans="13:39" hidden="1">
      <c r="M1770" s="141">
        <v>106477</v>
      </c>
      <c r="N1770" s="223">
        <v>389728</v>
      </c>
      <c r="O1770" s="142" t="s">
        <v>244</v>
      </c>
      <c r="P1770" s="142" t="s">
        <v>245</v>
      </c>
      <c r="Q1770" s="143" t="s">
        <v>534</v>
      </c>
      <c r="R1770" s="142" t="s">
        <v>379</v>
      </c>
      <c r="S1770" s="142" t="s">
        <v>801</v>
      </c>
      <c r="T1770" s="144">
        <v>42169</v>
      </c>
      <c r="U1770" s="172">
        <f t="shared" si="93"/>
        <v>2015</v>
      </c>
      <c r="V1770" s="172">
        <f t="shared" si="94"/>
        <v>6</v>
      </c>
      <c r="W1770" s="97" t="s">
        <v>464</v>
      </c>
      <c r="X1770" t="s">
        <v>892</v>
      </c>
      <c r="Y1770" s="41">
        <v>1</v>
      </c>
      <c r="Z1770" s="13"/>
      <c r="AA1770" s="13">
        <f t="shared" si="92"/>
        <v>106477</v>
      </c>
      <c r="AE1770" s="42"/>
      <c r="AL1770" s="88" t="s">
        <v>819</v>
      </c>
      <c r="AM1770" s="86">
        <v>536592</v>
      </c>
    </row>
    <row r="1771" spans="13:39" hidden="1">
      <c r="M1771" s="141">
        <v>106665</v>
      </c>
      <c r="N1771" s="223">
        <v>393391</v>
      </c>
      <c r="O1771" s="142" t="s">
        <v>244</v>
      </c>
      <c r="P1771" s="142" t="s">
        <v>245</v>
      </c>
      <c r="Q1771" s="143" t="s">
        <v>528</v>
      </c>
      <c r="R1771" s="142" t="s">
        <v>379</v>
      </c>
      <c r="S1771" s="142" t="s">
        <v>801</v>
      </c>
      <c r="T1771" s="144">
        <v>42169</v>
      </c>
      <c r="U1771" s="172">
        <f t="shared" si="93"/>
        <v>2015</v>
      </c>
      <c r="V1771" s="172">
        <f t="shared" si="94"/>
        <v>6</v>
      </c>
      <c r="W1771" s="97" t="s">
        <v>464</v>
      </c>
      <c r="X1771" t="s">
        <v>892</v>
      </c>
      <c r="Y1771" s="41">
        <v>1</v>
      </c>
      <c r="Z1771" s="13"/>
      <c r="AA1771" s="13">
        <f t="shared" si="92"/>
        <v>106665</v>
      </c>
      <c r="AE1771" s="42"/>
      <c r="AL1771" s="94" t="s">
        <v>819</v>
      </c>
      <c r="AM1771" s="86">
        <v>536670</v>
      </c>
    </row>
    <row r="1772" spans="13:39" hidden="1">
      <c r="M1772" s="141">
        <v>107108</v>
      </c>
      <c r="N1772" s="223">
        <v>392170</v>
      </c>
      <c r="O1772" s="142" t="s">
        <v>244</v>
      </c>
      <c r="P1772" s="142" t="s">
        <v>245</v>
      </c>
      <c r="Q1772" s="143" t="s">
        <v>583</v>
      </c>
      <c r="R1772" s="142" t="s">
        <v>379</v>
      </c>
      <c r="S1772" s="142" t="s">
        <v>801</v>
      </c>
      <c r="T1772" s="144">
        <v>42169</v>
      </c>
      <c r="U1772" s="172">
        <f t="shared" si="93"/>
        <v>2015</v>
      </c>
      <c r="V1772" s="172">
        <f t="shared" si="94"/>
        <v>6</v>
      </c>
      <c r="W1772" s="97" t="s">
        <v>464</v>
      </c>
      <c r="X1772" t="s">
        <v>892</v>
      </c>
      <c r="Y1772" s="41">
        <v>1</v>
      </c>
      <c r="Z1772" s="13"/>
      <c r="AA1772" s="13">
        <f t="shared" si="92"/>
        <v>107108</v>
      </c>
      <c r="AE1772" s="42"/>
      <c r="AL1772" s="94" t="s">
        <v>819</v>
      </c>
      <c r="AM1772" s="86">
        <v>536670</v>
      </c>
    </row>
    <row r="1773" spans="13:39" hidden="1">
      <c r="M1773" s="141">
        <v>108036</v>
      </c>
      <c r="N1773" s="223">
        <v>436117</v>
      </c>
      <c r="O1773" s="142" t="s">
        <v>244</v>
      </c>
      <c r="P1773" s="142" t="s">
        <v>245</v>
      </c>
      <c r="Q1773" s="143" t="s">
        <v>489</v>
      </c>
      <c r="R1773" s="142" t="s">
        <v>379</v>
      </c>
      <c r="S1773" s="142" t="s">
        <v>801</v>
      </c>
      <c r="T1773" s="144">
        <v>42169</v>
      </c>
      <c r="U1773" s="172">
        <f t="shared" si="93"/>
        <v>2015</v>
      </c>
      <c r="V1773" s="172">
        <f t="shared" si="94"/>
        <v>6</v>
      </c>
      <c r="W1773" s="97" t="s">
        <v>464</v>
      </c>
      <c r="X1773" t="s">
        <v>892</v>
      </c>
      <c r="Y1773" s="41">
        <v>1</v>
      </c>
      <c r="Z1773" s="13"/>
      <c r="AA1773" s="13">
        <f t="shared" si="92"/>
        <v>108036</v>
      </c>
      <c r="AE1773" s="42"/>
      <c r="AL1773" s="94" t="s">
        <v>819</v>
      </c>
      <c r="AM1773" s="86">
        <v>537239</v>
      </c>
    </row>
    <row r="1774" spans="13:39" hidden="1">
      <c r="M1774" s="141">
        <v>108315</v>
      </c>
      <c r="N1774" s="223">
        <v>420247</v>
      </c>
      <c r="O1774" s="142" t="s">
        <v>244</v>
      </c>
      <c r="P1774" s="142" t="s">
        <v>245</v>
      </c>
      <c r="Q1774" s="143" t="s">
        <v>529</v>
      </c>
      <c r="R1774" s="142" t="s">
        <v>379</v>
      </c>
      <c r="S1774" s="142" t="s">
        <v>801</v>
      </c>
      <c r="T1774" s="144">
        <v>42169</v>
      </c>
      <c r="U1774" s="172">
        <f t="shared" si="93"/>
        <v>2015</v>
      </c>
      <c r="V1774" s="172">
        <f t="shared" si="94"/>
        <v>6</v>
      </c>
      <c r="W1774" s="97" t="s">
        <v>464</v>
      </c>
      <c r="X1774" t="s">
        <v>892</v>
      </c>
      <c r="Y1774" s="41">
        <v>1</v>
      </c>
      <c r="Z1774" s="13"/>
      <c r="AA1774" s="13">
        <f t="shared" si="92"/>
        <v>108315</v>
      </c>
      <c r="AE1774" s="42"/>
      <c r="AL1774" s="88" t="s">
        <v>819</v>
      </c>
      <c r="AM1774" s="86">
        <v>537706</v>
      </c>
    </row>
    <row r="1775" spans="13:39" hidden="1">
      <c r="M1775" s="141">
        <v>108727</v>
      </c>
      <c r="N1775" s="222">
        <v>359209</v>
      </c>
      <c r="O1775" s="142" t="s">
        <v>244</v>
      </c>
      <c r="P1775" s="142" t="s">
        <v>245</v>
      </c>
      <c r="Q1775" s="143" t="s">
        <v>577</v>
      </c>
      <c r="R1775" s="142" t="s">
        <v>379</v>
      </c>
      <c r="S1775" s="142" t="s">
        <v>801</v>
      </c>
      <c r="T1775" s="144">
        <v>42169</v>
      </c>
      <c r="U1775" s="172">
        <f t="shared" si="93"/>
        <v>2015</v>
      </c>
      <c r="V1775" s="172">
        <f t="shared" si="94"/>
        <v>6</v>
      </c>
      <c r="W1775" s="97" t="s">
        <v>464</v>
      </c>
      <c r="X1775" t="s">
        <v>892</v>
      </c>
      <c r="Y1775" s="41">
        <v>1</v>
      </c>
      <c r="Z1775" s="13"/>
      <c r="AA1775" s="13">
        <f t="shared" si="92"/>
        <v>108727</v>
      </c>
      <c r="AE1775" s="42"/>
      <c r="AL1775" s="94" t="s">
        <v>819</v>
      </c>
      <c r="AM1775" s="86">
        <v>537809</v>
      </c>
    </row>
    <row r="1776" spans="13:39" hidden="1">
      <c r="M1776" s="141">
        <v>109789</v>
      </c>
      <c r="N1776" s="223">
        <v>437338</v>
      </c>
      <c r="O1776" s="142" t="s">
        <v>244</v>
      </c>
      <c r="P1776" s="142" t="s">
        <v>245</v>
      </c>
      <c r="Q1776" s="143" t="s">
        <v>543</v>
      </c>
      <c r="R1776" s="142" t="s">
        <v>379</v>
      </c>
      <c r="S1776" s="142" t="s">
        <v>801</v>
      </c>
      <c r="T1776" s="144">
        <v>42169</v>
      </c>
      <c r="U1776" s="172">
        <f t="shared" si="93"/>
        <v>2015</v>
      </c>
      <c r="V1776" s="172">
        <f t="shared" si="94"/>
        <v>6</v>
      </c>
      <c r="W1776" s="97" t="s">
        <v>464</v>
      </c>
      <c r="X1776" t="s">
        <v>892</v>
      </c>
      <c r="Y1776" s="41">
        <v>1</v>
      </c>
      <c r="Z1776" s="13"/>
      <c r="AA1776" s="13">
        <f t="shared" si="92"/>
        <v>109789</v>
      </c>
      <c r="AE1776" s="42"/>
      <c r="AL1776" s="88" t="s">
        <v>819</v>
      </c>
      <c r="AM1776" s="86">
        <v>538223</v>
      </c>
    </row>
    <row r="1777" spans="13:39" hidden="1">
      <c r="M1777" s="141">
        <v>110000</v>
      </c>
      <c r="N1777" s="223">
        <v>398274</v>
      </c>
      <c r="O1777" s="142" t="s">
        <v>244</v>
      </c>
      <c r="P1777" s="142" t="s">
        <v>245</v>
      </c>
      <c r="Q1777" s="143" t="s">
        <v>566</v>
      </c>
      <c r="R1777" s="142" t="s">
        <v>379</v>
      </c>
      <c r="S1777" s="142" t="s">
        <v>801</v>
      </c>
      <c r="T1777" s="144">
        <v>42169</v>
      </c>
      <c r="U1777" s="172">
        <f t="shared" si="93"/>
        <v>2015</v>
      </c>
      <c r="V1777" s="172">
        <f t="shared" si="94"/>
        <v>6</v>
      </c>
      <c r="W1777" s="97" t="s">
        <v>464</v>
      </c>
      <c r="X1777" t="s">
        <v>892</v>
      </c>
      <c r="Y1777" s="41">
        <v>1</v>
      </c>
      <c r="Z1777" s="13"/>
      <c r="AA1777" s="13">
        <f t="shared" si="92"/>
        <v>110000</v>
      </c>
      <c r="AE1777" s="42"/>
      <c r="AL1777" s="94" t="s">
        <v>819</v>
      </c>
      <c r="AM1777" s="86">
        <v>538378</v>
      </c>
    </row>
    <row r="1778" spans="13:39" hidden="1">
      <c r="M1778" s="141">
        <v>110100</v>
      </c>
      <c r="N1778" s="222">
        <v>377521</v>
      </c>
      <c r="O1778" s="142" t="s">
        <v>244</v>
      </c>
      <c r="P1778" s="142" t="s">
        <v>245</v>
      </c>
      <c r="Q1778" s="143" t="s">
        <v>570</v>
      </c>
      <c r="R1778" s="142" t="s">
        <v>379</v>
      </c>
      <c r="S1778" s="142" t="s">
        <v>801</v>
      </c>
      <c r="T1778" s="144">
        <v>42169</v>
      </c>
      <c r="U1778" s="172">
        <f t="shared" si="93"/>
        <v>2015</v>
      </c>
      <c r="V1778" s="172">
        <f t="shared" si="94"/>
        <v>6</v>
      </c>
      <c r="W1778" s="97" t="s">
        <v>464</v>
      </c>
      <c r="X1778" t="s">
        <v>892</v>
      </c>
      <c r="Y1778" s="41">
        <v>1</v>
      </c>
      <c r="Z1778" s="13"/>
      <c r="AA1778" s="13">
        <f t="shared" si="92"/>
        <v>110100</v>
      </c>
      <c r="AE1778" s="42"/>
      <c r="AL1778" s="94" t="s">
        <v>819</v>
      </c>
      <c r="AM1778" s="86">
        <v>538378</v>
      </c>
    </row>
    <row r="1779" spans="13:39" hidden="1">
      <c r="M1779" s="141">
        <v>110100</v>
      </c>
      <c r="N1779" s="223">
        <v>449546</v>
      </c>
      <c r="O1779" s="142" t="s">
        <v>244</v>
      </c>
      <c r="P1779" s="142" t="s">
        <v>245</v>
      </c>
      <c r="Q1779" s="143" t="s">
        <v>569</v>
      </c>
      <c r="R1779" s="142" t="s">
        <v>379</v>
      </c>
      <c r="S1779" s="142" t="s">
        <v>801</v>
      </c>
      <c r="T1779" s="144">
        <v>42169</v>
      </c>
      <c r="U1779" s="172">
        <f t="shared" si="93"/>
        <v>2015</v>
      </c>
      <c r="V1779" s="172">
        <f t="shared" si="94"/>
        <v>6</v>
      </c>
      <c r="W1779" s="97" t="s">
        <v>464</v>
      </c>
      <c r="X1779" t="s">
        <v>892</v>
      </c>
      <c r="Y1779" s="41">
        <v>1</v>
      </c>
      <c r="Z1779" s="13"/>
      <c r="AA1779" s="13">
        <f t="shared" si="92"/>
        <v>110100</v>
      </c>
      <c r="AE1779" s="42"/>
      <c r="AL1779" s="88" t="s">
        <v>819</v>
      </c>
      <c r="AM1779" s="86">
        <v>538724</v>
      </c>
    </row>
    <row r="1780" spans="13:39" hidden="1">
      <c r="M1780" s="141">
        <v>110208</v>
      </c>
      <c r="N1780" s="223">
        <v>392170</v>
      </c>
      <c r="O1780" s="142" t="s">
        <v>244</v>
      </c>
      <c r="P1780" s="142" t="s">
        <v>245</v>
      </c>
      <c r="Q1780" s="143" t="s">
        <v>526</v>
      </c>
      <c r="R1780" s="142" t="s">
        <v>379</v>
      </c>
      <c r="S1780" s="142" t="s">
        <v>801</v>
      </c>
      <c r="T1780" s="144">
        <v>42169</v>
      </c>
      <c r="U1780" s="172">
        <f t="shared" si="93"/>
        <v>2015</v>
      </c>
      <c r="V1780" s="172">
        <f t="shared" si="94"/>
        <v>6</v>
      </c>
      <c r="W1780" s="97" t="s">
        <v>464</v>
      </c>
      <c r="X1780" t="s">
        <v>892</v>
      </c>
      <c r="Y1780" s="41">
        <v>1</v>
      </c>
      <c r="Z1780" s="13"/>
      <c r="AA1780" s="13">
        <f t="shared" si="92"/>
        <v>110208</v>
      </c>
      <c r="AE1780" s="42"/>
      <c r="AL1780" s="88" t="s">
        <v>819</v>
      </c>
      <c r="AM1780" s="86">
        <v>538724</v>
      </c>
    </row>
    <row r="1781" spans="13:39" hidden="1">
      <c r="M1781" s="141">
        <v>111300</v>
      </c>
      <c r="N1781" s="222">
        <v>350664</v>
      </c>
      <c r="O1781" s="142" t="s">
        <v>244</v>
      </c>
      <c r="P1781" s="142" t="s">
        <v>245</v>
      </c>
      <c r="Q1781" s="143" t="s">
        <v>537</v>
      </c>
      <c r="R1781" s="142" t="s">
        <v>379</v>
      </c>
      <c r="S1781" s="142" t="s">
        <v>801</v>
      </c>
      <c r="T1781" s="144">
        <v>42169</v>
      </c>
      <c r="U1781" s="172">
        <f t="shared" si="93"/>
        <v>2015</v>
      </c>
      <c r="V1781" s="172">
        <f t="shared" si="94"/>
        <v>6</v>
      </c>
      <c r="W1781" s="97" t="s">
        <v>464</v>
      </c>
      <c r="X1781" t="s">
        <v>892</v>
      </c>
      <c r="Y1781" s="41">
        <v>1</v>
      </c>
      <c r="Z1781" s="13"/>
      <c r="AA1781" s="13">
        <f t="shared" si="92"/>
        <v>111300</v>
      </c>
      <c r="AE1781" s="42"/>
      <c r="AL1781" s="88" t="s">
        <v>819</v>
      </c>
      <c r="AM1781" s="86">
        <v>538724</v>
      </c>
    </row>
    <row r="1782" spans="13:39" hidden="1">
      <c r="M1782" s="141">
        <v>112256</v>
      </c>
      <c r="N1782" s="223">
        <v>434896</v>
      </c>
      <c r="O1782" s="142" t="s">
        <v>244</v>
      </c>
      <c r="P1782" s="142" t="s">
        <v>245</v>
      </c>
      <c r="Q1782" s="143" t="s">
        <v>541</v>
      </c>
      <c r="R1782" s="142" t="s">
        <v>379</v>
      </c>
      <c r="S1782" s="142" t="s">
        <v>801</v>
      </c>
      <c r="T1782" s="144">
        <v>42169</v>
      </c>
      <c r="U1782" s="172">
        <f t="shared" si="93"/>
        <v>2015</v>
      </c>
      <c r="V1782" s="172">
        <f t="shared" si="94"/>
        <v>6</v>
      </c>
      <c r="W1782" s="97" t="s">
        <v>464</v>
      </c>
      <c r="X1782" t="s">
        <v>892</v>
      </c>
      <c r="Y1782" s="41">
        <v>1</v>
      </c>
      <c r="Z1782" s="13"/>
      <c r="AA1782" s="13">
        <f t="shared" si="92"/>
        <v>112256</v>
      </c>
      <c r="AE1782" s="42"/>
      <c r="AL1782" s="88" t="s">
        <v>819</v>
      </c>
      <c r="AM1782" s="86">
        <v>538724</v>
      </c>
    </row>
    <row r="1783" spans="13:39" hidden="1">
      <c r="M1783" s="141">
        <v>112900</v>
      </c>
      <c r="N1783" s="223">
        <v>392170</v>
      </c>
      <c r="O1783" s="142" t="s">
        <v>244</v>
      </c>
      <c r="P1783" s="142" t="s">
        <v>245</v>
      </c>
      <c r="Q1783" s="143" t="s">
        <v>472</v>
      </c>
      <c r="R1783" s="142" t="s">
        <v>379</v>
      </c>
      <c r="S1783" s="142" t="s">
        <v>801</v>
      </c>
      <c r="T1783" s="144">
        <v>42169</v>
      </c>
      <c r="U1783" s="172">
        <f t="shared" si="93"/>
        <v>2015</v>
      </c>
      <c r="V1783" s="172">
        <f t="shared" si="94"/>
        <v>6</v>
      </c>
      <c r="W1783" s="97" t="s">
        <v>464</v>
      </c>
      <c r="X1783" t="s">
        <v>892</v>
      </c>
      <c r="Y1783" s="41">
        <v>1</v>
      </c>
      <c r="Z1783" s="13"/>
      <c r="AA1783" s="13">
        <f t="shared" si="92"/>
        <v>112900</v>
      </c>
      <c r="AE1783" s="42"/>
      <c r="AL1783" s="88" t="s">
        <v>819</v>
      </c>
      <c r="AM1783" s="86">
        <v>538724</v>
      </c>
    </row>
    <row r="1784" spans="13:39" hidden="1">
      <c r="M1784" s="141">
        <v>113660</v>
      </c>
      <c r="N1784" s="223">
        <v>661958</v>
      </c>
      <c r="O1784" s="142" t="s">
        <v>244</v>
      </c>
      <c r="P1784" s="142" t="s">
        <v>245</v>
      </c>
      <c r="Q1784" s="143" t="s">
        <v>553</v>
      </c>
      <c r="R1784" s="142" t="s">
        <v>379</v>
      </c>
      <c r="S1784" s="142" t="s">
        <v>801</v>
      </c>
      <c r="T1784" s="144">
        <v>42169</v>
      </c>
      <c r="U1784" s="172">
        <f t="shared" si="93"/>
        <v>2015</v>
      </c>
      <c r="V1784" s="172">
        <f t="shared" si="94"/>
        <v>6</v>
      </c>
      <c r="W1784" s="97" t="s">
        <v>464</v>
      </c>
      <c r="X1784" t="s">
        <v>892</v>
      </c>
      <c r="Y1784" s="41">
        <v>1</v>
      </c>
      <c r="Z1784" s="13"/>
      <c r="AA1784" s="13">
        <f t="shared" si="92"/>
        <v>113660</v>
      </c>
      <c r="AE1784" s="42"/>
      <c r="AL1784" s="88" t="s">
        <v>819</v>
      </c>
      <c r="AM1784" s="86">
        <v>538724</v>
      </c>
    </row>
    <row r="1785" spans="13:39" hidden="1">
      <c r="M1785" s="141">
        <v>115110</v>
      </c>
      <c r="N1785" s="223">
        <v>389728</v>
      </c>
      <c r="O1785" s="142" t="s">
        <v>244</v>
      </c>
      <c r="P1785" s="142" t="s">
        <v>245</v>
      </c>
      <c r="Q1785" s="143" t="s">
        <v>499</v>
      </c>
      <c r="R1785" s="142" t="s">
        <v>379</v>
      </c>
      <c r="S1785" s="142" t="s">
        <v>801</v>
      </c>
      <c r="T1785" s="144">
        <v>42169</v>
      </c>
      <c r="U1785" s="172">
        <f t="shared" si="93"/>
        <v>2015</v>
      </c>
      <c r="V1785" s="172">
        <f t="shared" si="94"/>
        <v>6</v>
      </c>
      <c r="W1785" s="97" t="s">
        <v>464</v>
      </c>
      <c r="X1785" t="s">
        <v>892</v>
      </c>
      <c r="Y1785" s="41">
        <v>1</v>
      </c>
      <c r="Z1785" s="13"/>
      <c r="AA1785" s="13">
        <f t="shared" si="92"/>
        <v>115110</v>
      </c>
      <c r="AE1785" s="42"/>
      <c r="AL1785" s="88" t="s">
        <v>819</v>
      </c>
      <c r="AM1785" s="86">
        <v>538724</v>
      </c>
    </row>
    <row r="1786" spans="13:39" hidden="1">
      <c r="M1786" s="141">
        <v>116600</v>
      </c>
      <c r="N1786" s="223">
        <v>593596</v>
      </c>
      <c r="O1786" s="142" t="s">
        <v>244</v>
      </c>
      <c r="P1786" s="142" t="s">
        <v>245</v>
      </c>
      <c r="Q1786" s="143" t="s">
        <v>476</v>
      </c>
      <c r="R1786" s="142" t="s">
        <v>379</v>
      </c>
      <c r="S1786" s="142" t="s">
        <v>801</v>
      </c>
      <c r="T1786" s="144">
        <v>42169</v>
      </c>
      <c r="U1786" s="172">
        <f t="shared" si="93"/>
        <v>2015</v>
      </c>
      <c r="V1786" s="172">
        <f t="shared" si="94"/>
        <v>6</v>
      </c>
      <c r="W1786" s="97" t="s">
        <v>464</v>
      </c>
      <c r="X1786" t="s">
        <v>892</v>
      </c>
      <c r="Y1786" s="41">
        <v>1</v>
      </c>
      <c r="Z1786" s="13"/>
      <c r="AA1786" s="13">
        <f t="shared" si="92"/>
        <v>116600</v>
      </c>
      <c r="AE1786" s="42"/>
      <c r="AL1786" s="94" t="s">
        <v>819</v>
      </c>
      <c r="AM1786" s="86">
        <v>538948</v>
      </c>
    </row>
    <row r="1787" spans="13:39" hidden="1">
      <c r="M1787" s="141">
        <v>117118</v>
      </c>
      <c r="N1787" s="222">
        <v>373859</v>
      </c>
      <c r="O1787" s="142" t="s">
        <v>244</v>
      </c>
      <c r="P1787" s="142" t="s">
        <v>245</v>
      </c>
      <c r="Q1787" s="143" t="s">
        <v>482</v>
      </c>
      <c r="R1787" s="142" t="s">
        <v>379</v>
      </c>
      <c r="S1787" s="142" t="s">
        <v>801</v>
      </c>
      <c r="T1787" s="144">
        <v>42169</v>
      </c>
      <c r="U1787" s="172">
        <f t="shared" si="93"/>
        <v>2015</v>
      </c>
      <c r="V1787" s="172">
        <f t="shared" si="94"/>
        <v>6</v>
      </c>
      <c r="W1787" s="97" t="s">
        <v>464</v>
      </c>
      <c r="X1787" t="s">
        <v>892</v>
      </c>
      <c r="Y1787" s="41">
        <v>1</v>
      </c>
      <c r="Z1787" s="13"/>
      <c r="AA1787" s="13">
        <f t="shared" si="92"/>
        <v>117118</v>
      </c>
      <c r="AE1787" s="42"/>
      <c r="AL1787" s="94" t="s">
        <v>819</v>
      </c>
      <c r="AM1787" s="86">
        <v>5389694</v>
      </c>
    </row>
    <row r="1788" spans="13:39" hidden="1">
      <c r="M1788" s="141">
        <v>117770</v>
      </c>
      <c r="N1788" s="222">
        <v>360430</v>
      </c>
      <c r="O1788" s="142" t="s">
        <v>244</v>
      </c>
      <c r="P1788" s="142" t="s">
        <v>245</v>
      </c>
      <c r="Q1788" s="143" t="s">
        <v>582</v>
      </c>
      <c r="R1788" s="142" t="s">
        <v>379</v>
      </c>
      <c r="S1788" s="142" t="s">
        <v>801</v>
      </c>
      <c r="T1788" s="144">
        <v>42169</v>
      </c>
      <c r="U1788" s="172">
        <f t="shared" si="93"/>
        <v>2015</v>
      </c>
      <c r="V1788" s="172">
        <f t="shared" si="94"/>
        <v>6</v>
      </c>
      <c r="W1788" s="97" t="s">
        <v>464</v>
      </c>
      <c r="X1788" t="s">
        <v>892</v>
      </c>
      <c r="Y1788" s="41">
        <v>1</v>
      </c>
      <c r="Z1788" s="13"/>
      <c r="AA1788" s="13">
        <f t="shared" si="92"/>
        <v>117770</v>
      </c>
      <c r="AE1788" s="42"/>
      <c r="AL1788" s="94" t="s">
        <v>819</v>
      </c>
      <c r="AM1788" s="86">
        <v>539517</v>
      </c>
    </row>
    <row r="1789" spans="13:39" hidden="1">
      <c r="M1789" s="141">
        <v>118000</v>
      </c>
      <c r="N1789" s="223">
        <v>417806</v>
      </c>
      <c r="O1789" s="142" t="s">
        <v>244</v>
      </c>
      <c r="P1789" s="142" t="s">
        <v>245</v>
      </c>
      <c r="Q1789" s="143" t="s">
        <v>512</v>
      </c>
      <c r="R1789" s="142" t="s">
        <v>379</v>
      </c>
      <c r="S1789" s="142" t="s">
        <v>801</v>
      </c>
      <c r="T1789" s="144">
        <v>42169</v>
      </c>
      <c r="U1789" s="172">
        <f t="shared" si="93"/>
        <v>2015</v>
      </c>
      <c r="V1789" s="172">
        <f t="shared" si="94"/>
        <v>6</v>
      </c>
      <c r="W1789" s="97" t="s">
        <v>464</v>
      </c>
      <c r="X1789" t="s">
        <v>892</v>
      </c>
      <c r="Y1789" s="41">
        <v>1</v>
      </c>
      <c r="Z1789" s="13"/>
      <c r="AA1789" s="13">
        <f t="shared" si="92"/>
        <v>118000</v>
      </c>
      <c r="AE1789" s="42"/>
      <c r="AL1789" s="94" t="s">
        <v>819</v>
      </c>
      <c r="AM1789" s="86">
        <v>539517</v>
      </c>
    </row>
    <row r="1790" spans="13:39" hidden="1">
      <c r="M1790" s="141">
        <v>118933</v>
      </c>
      <c r="N1790" s="222">
        <v>384845</v>
      </c>
      <c r="O1790" s="142" t="s">
        <v>244</v>
      </c>
      <c r="P1790" s="142" t="s">
        <v>245</v>
      </c>
      <c r="Q1790" s="143" t="s">
        <v>527</v>
      </c>
      <c r="R1790" s="142" t="s">
        <v>379</v>
      </c>
      <c r="S1790" s="142" t="s">
        <v>801</v>
      </c>
      <c r="T1790" s="144">
        <v>42169</v>
      </c>
      <c r="U1790" s="172">
        <f t="shared" si="93"/>
        <v>2015</v>
      </c>
      <c r="V1790" s="172">
        <f t="shared" si="94"/>
        <v>6</v>
      </c>
      <c r="W1790" s="97" t="s">
        <v>464</v>
      </c>
      <c r="X1790" t="s">
        <v>892</v>
      </c>
      <c r="Y1790" s="41">
        <v>1</v>
      </c>
      <c r="Z1790" s="13"/>
      <c r="AA1790" s="13">
        <f t="shared" si="92"/>
        <v>118933</v>
      </c>
      <c r="AE1790" s="42"/>
      <c r="AL1790" s="94" t="s">
        <v>819</v>
      </c>
      <c r="AM1790" s="86">
        <v>539517</v>
      </c>
    </row>
    <row r="1791" spans="13:39" hidden="1">
      <c r="M1791" s="141">
        <v>119870</v>
      </c>
      <c r="N1791" s="223">
        <v>480065</v>
      </c>
      <c r="O1791" s="142" t="s">
        <v>244</v>
      </c>
      <c r="P1791" s="142" t="s">
        <v>245</v>
      </c>
      <c r="Q1791" s="143" t="s">
        <v>485</v>
      </c>
      <c r="R1791" s="142" t="s">
        <v>379</v>
      </c>
      <c r="S1791" s="142" t="s">
        <v>801</v>
      </c>
      <c r="T1791" s="144">
        <v>42169</v>
      </c>
      <c r="U1791" s="172">
        <f t="shared" si="93"/>
        <v>2015</v>
      </c>
      <c r="V1791" s="172">
        <f t="shared" si="94"/>
        <v>6</v>
      </c>
      <c r="W1791" s="97" t="s">
        <v>464</v>
      </c>
      <c r="X1791" t="s">
        <v>892</v>
      </c>
      <c r="Y1791" s="41">
        <v>1</v>
      </c>
      <c r="Z1791" s="13"/>
      <c r="AA1791" s="13">
        <f t="shared" si="92"/>
        <v>119870</v>
      </c>
      <c r="AE1791" s="42"/>
      <c r="AL1791" s="94" t="s">
        <v>819</v>
      </c>
      <c r="AM1791" s="86">
        <v>539517</v>
      </c>
    </row>
    <row r="1792" spans="13:39" hidden="1">
      <c r="M1792" s="141">
        <v>120000</v>
      </c>
      <c r="N1792" s="223">
        <v>426351</v>
      </c>
      <c r="O1792" s="142" t="s">
        <v>244</v>
      </c>
      <c r="P1792" s="142" t="s">
        <v>245</v>
      </c>
      <c r="Q1792" s="143" t="s">
        <v>521</v>
      </c>
      <c r="R1792" s="142" t="s">
        <v>379</v>
      </c>
      <c r="S1792" s="142" t="s">
        <v>801</v>
      </c>
      <c r="T1792" s="144">
        <v>42169</v>
      </c>
      <c r="U1792" s="172">
        <f t="shared" si="93"/>
        <v>2015</v>
      </c>
      <c r="V1792" s="172">
        <f t="shared" si="94"/>
        <v>6</v>
      </c>
      <c r="W1792" s="97" t="s">
        <v>464</v>
      </c>
      <c r="X1792" t="s">
        <v>892</v>
      </c>
      <c r="Y1792" s="41">
        <v>1</v>
      </c>
      <c r="Z1792" s="13"/>
      <c r="AA1792" s="13">
        <f t="shared" si="92"/>
        <v>120000</v>
      </c>
      <c r="AE1792" s="42"/>
      <c r="AL1792" s="94" t="s">
        <v>819</v>
      </c>
      <c r="AM1792" s="86">
        <v>539517</v>
      </c>
    </row>
    <row r="1793" spans="13:39" hidden="1">
      <c r="M1793" s="141">
        <v>120001</v>
      </c>
      <c r="N1793" s="223">
        <v>321858</v>
      </c>
      <c r="O1793" s="142" t="s">
        <v>244</v>
      </c>
      <c r="P1793" s="142" t="s">
        <v>245</v>
      </c>
      <c r="Q1793" s="143" t="s">
        <v>608</v>
      </c>
      <c r="R1793" s="142" t="s">
        <v>379</v>
      </c>
      <c r="S1793" s="142" t="s">
        <v>801</v>
      </c>
      <c r="T1793" s="144">
        <v>41987</v>
      </c>
      <c r="U1793" s="172">
        <f t="shared" si="93"/>
        <v>2014</v>
      </c>
      <c r="V1793" s="172">
        <f t="shared" si="94"/>
        <v>12</v>
      </c>
      <c r="W1793" s="97" t="s">
        <v>586</v>
      </c>
      <c r="X1793" t="s">
        <v>892</v>
      </c>
      <c r="Y1793" s="41">
        <v>1</v>
      </c>
      <c r="Z1793" s="13"/>
      <c r="AA1793" s="13">
        <f t="shared" si="92"/>
        <v>120001</v>
      </c>
      <c r="AE1793" s="42"/>
      <c r="AL1793" s="88" t="s">
        <v>819</v>
      </c>
      <c r="AM1793" s="86">
        <v>539819</v>
      </c>
    </row>
    <row r="1794" spans="13:39" hidden="1">
      <c r="M1794" s="141">
        <v>121018</v>
      </c>
      <c r="N1794" s="223">
        <v>389728</v>
      </c>
      <c r="O1794" s="142" t="s">
        <v>244</v>
      </c>
      <c r="P1794" s="142" t="s">
        <v>245</v>
      </c>
      <c r="Q1794" s="143" t="s">
        <v>494</v>
      </c>
      <c r="R1794" s="142" t="s">
        <v>379</v>
      </c>
      <c r="S1794" s="142" t="s">
        <v>801</v>
      </c>
      <c r="T1794" s="144">
        <v>42169</v>
      </c>
      <c r="U1794" s="172">
        <f t="shared" si="93"/>
        <v>2015</v>
      </c>
      <c r="V1794" s="172">
        <f t="shared" si="94"/>
        <v>6</v>
      </c>
      <c r="W1794" s="97" t="s">
        <v>464</v>
      </c>
      <c r="X1794" t="s">
        <v>892</v>
      </c>
      <c r="Y1794" s="41">
        <v>1</v>
      </c>
      <c r="Z1794" s="13"/>
      <c r="AA1794" s="13">
        <f t="shared" si="92"/>
        <v>121018</v>
      </c>
      <c r="AE1794" s="42"/>
      <c r="AL1794" s="94" t="s">
        <v>819</v>
      </c>
      <c r="AM1794" s="86">
        <v>540087</v>
      </c>
    </row>
    <row r="1795" spans="13:39" hidden="1">
      <c r="M1795" s="141">
        <v>121101</v>
      </c>
      <c r="N1795" s="223">
        <v>389728</v>
      </c>
      <c r="O1795" s="142" t="s">
        <v>244</v>
      </c>
      <c r="P1795" s="142" t="s">
        <v>245</v>
      </c>
      <c r="Q1795" s="143" t="s">
        <v>518</v>
      </c>
      <c r="R1795" s="142" t="s">
        <v>379</v>
      </c>
      <c r="S1795" s="142" t="s">
        <v>801</v>
      </c>
      <c r="T1795" s="144">
        <v>42169</v>
      </c>
      <c r="U1795" s="172">
        <f t="shared" si="93"/>
        <v>2015</v>
      </c>
      <c r="V1795" s="172">
        <f t="shared" si="94"/>
        <v>6</v>
      </c>
      <c r="W1795" s="97" t="s">
        <v>464</v>
      </c>
      <c r="X1795" t="s">
        <v>892</v>
      </c>
      <c r="Y1795" s="41">
        <v>1</v>
      </c>
      <c r="Z1795" s="13"/>
      <c r="AA1795" s="13">
        <f t="shared" si="92"/>
        <v>121101</v>
      </c>
      <c r="AE1795" s="42"/>
      <c r="AL1795" s="94" t="s">
        <v>819</v>
      </c>
      <c r="AM1795" s="86">
        <v>540087</v>
      </c>
    </row>
    <row r="1796" spans="13:39" hidden="1">
      <c r="M1796" s="141">
        <v>121112</v>
      </c>
      <c r="N1796" s="223">
        <v>406819</v>
      </c>
      <c r="O1796" s="142" t="s">
        <v>244</v>
      </c>
      <c r="P1796" s="142" t="s">
        <v>245</v>
      </c>
      <c r="Q1796" s="143" t="s">
        <v>547</v>
      </c>
      <c r="R1796" s="142" t="s">
        <v>379</v>
      </c>
      <c r="S1796" s="142" t="s">
        <v>801</v>
      </c>
      <c r="T1796" s="144">
        <v>42169</v>
      </c>
      <c r="U1796" s="172">
        <f t="shared" si="93"/>
        <v>2015</v>
      </c>
      <c r="V1796" s="172">
        <f t="shared" si="94"/>
        <v>6</v>
      </c>
      <c r="W1796" s="97" t="s">
        <v>464</v>
      </c>
      <c r="X1796" t="s">
        <v>892</v>
      </c>
      <c r="Y1796" s="41">
        <v>1</v>
      </c>
      <c r="Z1796" s="13"/>
      <c r="AA1796" s="13">
        <f t="shared" ref="AA1796:AA1859" si="95">IF(M1796&lt;30000,Y1796*100*M1796*(1-$L$1)-$L$2*Y1796,M1796)</f>
        <v>121112</v>
      </c>
      <c r="AE1796" s="42"/>
      <c r="AL1796" s="94" t="s">
        <v>819</v>
      </c>
      <c r="AM1796" s="86">
        <v>540656</v>
      </c>
    </row>
    <row r="1797" spans="13:39" hidden="1">
      <c r="M1797" s="141">
        <v>121180</v>
      </c>
      <c r="N1797" s="223">
        <v>392170</v>
      </c>
      <c r="O1797" s="142" t="s">
        <v>244</v>
      </c>
      <c r="P1797" s="142" t="s">
        <v>245</v>
      </c>
      <c r="Q1797" s="143" t="s">
        <v>567</v>
      </c>
      <c r="R1797" s="142" t="s">
        <v>379</v>
      </c>
      <c r="S1797" s="142" t="s">
        <v>801</v>
      </c>
      <c r="T1797" s="144">
        <v>42169</v>
      </c>
      <c r="U1797" s="172">
        <f t="shared" si="93"/>
        <v>2015</v>
      </c>
      <c r="V1797" s="172">
        <f t="shared" si="94"/>
        <v>6</v>
      </c>
      <c r="W1797" s="97" t="s">
        <v>464</v>
      </c>
      <c r="X1797" t="s">
        <v>892</v>
      </c>
      <c r="Y1797" s="41">
        <v>1</v>
      </c>
      <c r="Z1797" s="13"/>
      <c r="AA1797" s="13">
        <f t="shared" si="95"/>
        <v>121180</v>
      </c>
      <c r="AE1797" s="42"/>
      <c r="AL1797" s="94" t="s">
        <v>819</v>
      </c>
      <c r="AM1797" s="86">
        <v>540656</v>
      </c>
    </row>
    <row r="1798" spans="13:39" hidden="1">
      <c r="M1798" s="141">
        <v>121510</v>
      </c>
      <c r="N1798" s="223">
        <v>532557</v>
      </c>
      <c r="O1798" s="142" t="s">
        <v>244</v>
      </c>
      <c r="P1798" s="142" t="s">
        <v>245</v>
      </c>
      <c r="Q1798" s="143" t="s">
        <v>468</v>
      </c>
      <c r="R1798" s="142" t="s">
        <v>379</v>
      </c>
      <c r="S1798" s="142" t="s">
        <v>801</v>
      </c>
      <c r="T1798" s="144">
        <v>42169</v>
      </c>
      <c r="U1798" s="172">
        <f t="shared" si="93"/>
        <v>2015</v>
      </c>
      <c r="V1798" s="172">
        <f t="shared" si="94"/>
        <v>6</v>
      </c>
      <c r="W1798" s="97" t="s">
        <v>464</v>
      </c>
      <c r="X1798" t="s">
        <v>892</v>
      </c>
      <c r="Y1798" s="41">
        <v>1</v>
      </c>
      <c r="Z1798" s="13"/>
      <c r="AA1798" s="13">
        <f t="shared" si="95"/>
        <v>121510</v>
      </c>
      <c r="AE1798" s="42"/>
      <c r="AL1798" s="94" t="s">
        <v>819</v>
      </c>
      <c r="AM1798" s="86">
        <v>540656</v>
      </c>
    </row>
    <row r="1799" spans="13:39" hidden="1">
      <c r="M1799" s="141">
        <v>121800</v>
      </c>
      <c r="N1799" s="223">
        <v>321858</v>
      </c>
      <c r="O1799" s="142" t="s">
        <v>244</v>
      </c>
      <c r="P1799" s="142" t="s">
        <v>245</v>
      </c>
      <c r="Q1799" s="143" t="s">
        <v>594</v>
      </c>
      <c r="R1799" s="142" t="s">
        <v>379</v>
      </c>
      <c r="S1799" s="142" t="s">
        <v>801</v>
      </c>
      <c r="T1799" s="144">
        <v>41987</v>
      </c>
      <c r="U1799" s="172">
        <f t="shared" ref="U1799:U1862" si="96">YEAR($T1799)</f>
        <v>2014</v>
      </c>
      <c r="V1799" s="172">
        <f t="shared" ref="V1799:V1862" si="97">MONTH($T1799)</f>
        <v>12</v>
      </c>
      <c r="W1799" s="97" t="s">
        <v>586</v>
      </c>
      <c r="X1799" t="s">
        <v>892</v>
      </c>
      <c r="Y1799" s="41">
        <v>1</v>
      </c>
      <c r="Z1799" s="13"/>
      <c r="AA1799" s="13">
        <f t="shared" si="95"/>
        <v>121800</v>
      </c>
      <c r="AE1799" s="42"/>
      <c r="AL1799" s="88" t="s">
        <v>819</v>
      </c>
      <c r="AM1799" s="86">
        <v>540752</v>
      </c>
    </row>
    <row r="1800" spans="13:39" hidden="1">
      <c r="M1800" s="141">
        <v>123145</v>
      </c>
      <c r="N1800" s="223">
        <v>477623</v>
      </c>
      <c r="O1800" s="142" t="s">
        <v>244</v>
      </c>
      <c r="P1800" s="142" t="s">
        <v>245</v>
      </c>
      <c r="Q1800" s="143" t="s">
        <v>497</v>
      </c>
      <c r="R1800" s="142" t="s">
        <v>379</v>
      </c>
      <c r="S1800" s="142" t="s">
        <v>801</v>
      </c>
      <c r="T1800" s="144">
        <v>42169</v>
      </c>
      <c r="U1800" s="172">
        <f t="shared" si="96"/>
        <v>2015</v>
      </c>
      <c r="V1800" s="172">
        <f t="shared" si="97"/>
        <v>6</v>
      </c>
      <c r="W1800" s="97" t="s">
        <v>464</v>
      </c>
      <c r="X1800" t="s">
        <v>892</v>
      </c>
      <c r="Y1800" s="41">
        <v>1</v>
      </c>
      <c r="Z1800" s="13"/>
      <c r="AA1800" s="13">
        <f t="shared" si="95"/>
        <v>123145</v>
      </c>
      <c r="AE1800" s="42"/>
      <c r="AL1800" s="94" t="s">
        <v>819</v>
      </c>
      <c r="AM1800" s="86">
        <v>541227</v>
      </c>
    </row>
    <row r="1801" spans="13:39" hidden="1">
      <c r="M1801" s="141">
        <v>123400</v>
      </c>
      <c r="N1801" s="223">
        <v>395832</v>
      </c>
      <c r="O1801" s="142" t="s">
        <v>244</v>
      </c>
      <c r="P1801" s="142" t="s">
        <v>245</v>
      </c>
      <c r="Q1801" s="143" t="s">
        <v>503</v>
      </c>
      <c r="R1801" s="142" t="s">
        <v>379</v>
      </c>
      <c r="S1801" s="142" t="s">
        <v>801</v>
      </c>
      <c r="T1801" s="144">
        <v>42169</v>
      </c>
      <c r="U1801" s="172">
        <f t="shared" si="96"/>
        <v>2015</v>
      </c>
      <c r="V1801" s="172">
        <f t="shared" si="97"/>
        <v>6</v>
      </c>
      <c r="W1801" s="97" t="s">
        <v>464</v>
      </c>
      <c r="X1801" t="s">
        <v>892</v>
      </c>
      <c r="Y1801" s="41">
        <v>1</v>
      </c>
      <c r="Z1801" s="13"/>
      <c r="AA1801" s="13">
        <f t="shared" si="95"/>
        <v>123400</v>
      </c>
      <c r="AE1801" s="42"/>
      <c r="AL1801" s="94" t="s">
        <v>819</v>
      </c>
      <c r="AM1801" s="86">
        <v>541227</v>
      </c>
    </row>
    <row r="1802" spans="13:39" hidden="1">
      <c r="M1802" s="141">
        <v>124038</v>
      </c>
      <c r="N1802" s="223">
        <v>460533</v>
      </c>
      <c r="O1802" s="142" t="s">
        <v>244</v>
      </c>
      <c r="P1802" s="142" t="s">
        <v>245</v>
      </c>
      <c r="Q1802" s="143" t="s">
        <v>486</v>
      </c>
      <c r="R1802" s="142" t="s">
        <v>379</v>
      </c>
      <c r="S1802" s="142" t="s">
        <v>801</v>
      </c>
      <c r="T1802" s="144">
        <v>42169</v>
      </c>
      <c r="U1802" s="172">
        <f t="shared" si="96"/>
        <v>2015</v>
      </c>
      <c r="V1802" s="172">
        <f t="shared" si="97"/>
        <v>6</v>
      </c>
      <c r="W1802" s="97" t="s">
        <v>464</v>
      </c>
      <c r="X1802" t="s">
        <v>892</v>
      </c>
      <c r="Y1802" s="41">
        <v>1</v>
      </c>
      <c r="Z1802" s="13"/>
      <c r="AA1802" s="13">
        <f t="shared" si="95"/>
        <v>124038</v>
      </c>
      <c r="AE1802" s="42"/>
      <c r="AL1802" s="94" t="s">
        <v>819</v>
      </c>
      <c r="AM1802" s="86">
        <v>541227</v>
      </c>
    </row>
    <row r="1803" spans="13:39" hidden="1">
      <c r="M1803" s="141">
        <v>126900</v>
      </c>
      <c r="N1803" s="223">
        <v>478844</v>
      </c>
      <c r="O1803" s="142" t="s">
        <v>244</v>
      </c>
      <c r="P1803" s="142" t="s">
        <v>245</v>
      </c>
      <c r="Q1803" s="143" t="s">
        <v>484</v>
      </c>
      <c r="R1803" s="142" t="s">
        <v>379</v>
      </c>
      <c r="S1803" s="142" t="s">
        <v>801</v>
      </c>
      <c r="T1803" s="144">
        <v>42169</v>
      </c>
      <c r="U1803" s="172">
        <f t="shared" si="96"/>
        <v>2015</v>
      </c>
      <c r="V1803" s="172">
        <f t="shared" si="97"/>
        <v>6</v>
      </c>
      <c r="W1803" s="97" t="s">
        <v>464</v>
      </c>
      <c r="X1803" t="s">
        <v>892</v>
      </c>
      <c r="Y1803" s="41">
        <v>1</v>
      </c>
      <c r="Z1803" s="13"/>
      <c r="AA1803" s="13">
        <f t="shared" si="95"/>
        <v>126900</v>
      </c>
      <c r="AE1803" s="42"/>
      <c r="AL1803" s="94" t="s">
        <v>819</v>
      </c>
      <c r="AM1803" s="86">
        <v>541227</v>
      </c>
    </row>
    <row r="1804" spans="13:39" hidden="1">
      <c r="M1804" s="141">
        <v>127777</v>
      </c>
      <c r="N1804" s="223">
        <v>340427</v>
      </c>
      <c r="O1804" s="142" t="s">
        <v>244</v>
      </c>
      <c r="P1804" s="142" t="s">
        <v>245</v>
      </c>
      <c r="Q1804" s="143" t="s">
        <v>600</v>
      </c>
      <c r="R1804" s="142" t="s">
        <v>379</v>
      </c>
      <c r="S1804" s="142" t="s">
        <v>801</v>
      </c>
      <c r="T1804" s="144">
        <v>41987</v>
      </c>
      <c r="U1804" s="172">
        <f t="shared" si="96"/>
        <v>2014</v>
      </c>
      <c r="V1804" s="172">
        <f t="shared" si="97"/>
        <v>12</v>
      </c>
      <c r="W1804" s="97" t="s">
        <v>586</v>
      </c>
      <c r="X1804" t="s">
        <v>892</v>
      </c>
      <c r="Y1804" s="41">
        <v>1</v>
      </c>
      <c r="Z1804" s="13"/>
      <c r="AA1804" s="13">
        <f t="shared" si="95"/>
        <v>127777</v>
      </c>
      <c r="AE1804" s="42"/>
      <c r="AL1804" s="94" t="s">
        <v>819</v>
      </c>
      <c r="AM1804" s="86">
        <v>541227</v>
      </c>
    </row>
    <row r="1805" spans="13:39" hidden="1">
      <c r="M1805" s="141">
        <v>130000</v>
      </c>
      <c r="N1805" s="223">
        <v>438558</v>
      </c>
      <c r="O1805" s="142" t="s">
        <v>244</v>
      </c>
      <c r="P1805" s="142" t="s">
        <v>245</v>
      </c>
      <c r="Q1805" s="143" t="s">
        <v>506</v>
      </c>
      <c r="R1805" s="142" t="s">
        <v>379</v>
      </c>
      <c r="S1805" s="142" t="s">
        <v>801</v>
      </c>
      <c r="T1805" s="144">
        <v>42169</v>
      </c>
      <c r="U1805" s="172">
        <f t="shared" si="96"/>
        <v>2015</v>
      </c>
      <c r="V1805" s="172">
        <f t="shared" si="97"/>
        <v>6</v>
      </c>
      <c r="W1805" s="97" t="s">
        <v>464</v>
      </c>
      <c r="X1805" t="s">
        <v>892</v>
      </c>
      <c r="Y1805" s="41">
        <v>1</v>
      </c>
      <c r="Z1805" s="13"/>
      <c r="AA1805" s="13">
        <f t="shared" si="95"/>
        <v>130000</v>
      </c>
      <c r="AE1805" s="42"/>
      <c r="AL1805" s="94" t="s">
        <v>819</v>
      </c>
      <c r="AM1805" s="86">
        <v>541796</v>
      </c>
    </row>
    <row r="1806" spans="13:39" hidden="1">
      <c r="M1806" s="141">
        <v>130500</v>
      </c>
      <c r="N1806" s="223">
        <v>445984</v>
      </c>
      <c r="O1806" s="142" t="s">
        <v>244</v>
      </c>
      <c r="P1806" s="142" t="s">
        <v>245</v>
      </c>
      <c r="Q1806" s="145">
        <v>141</v>
      </c>
      <c r="R1806" s="142" t="s">
        <v>379</v>
      </c>
      <c r="S1806" s="142" t="s">
        <v>801</v>
      </c>
      <c r="T1806" s="144">
        <v>41763</v>
      </c>
      <c r="U1806" s="172">
        <f t="shared" si="96"/>
        <v>2014</v>
      </c>
      <c r="V1806" s="172">
        <f t="shared" si="97"/>
        <v>5</v>
      </c>
      <c r="W1806" s="97" t="s">
        <v>613</v>
      </c>
      <c r="X1806" t="s">
        <v>892</v>
      </c>
      <c r="Y1806" s="41">
        <v>1</v>
      </c>
      <c r="Z1806" s="13"/>
      <c r="AA1806" s="13">
        <f t="shared" si="95"/>
        <v>130500</v>
      </c>
      <c r="AE1806" s="42"/>
      <c r="AL1806" s="94" t="s">
        <v>819</v>
      </c>
      <c r="AM1806" s="86">
        <v>541796</v>
      </c>
    </row>
    <row r="1807" spans="13:39" hidden="1">
      <c r="M1807" s="141">
        <v>131000</v>
      </c>
      <c r="N1807" s="223">
        <v>398274</v>
      </c>
      <c r="O1807" s="142" t="s">
        <v>244</v>
      </c>
      <c r="P1807" s="142" t="s">
        <v>245</v>
      </c>
      <c r="Q1807" s="143" t="s">
        <v>490</v>
      </c>
      <c r="R1807" s="142" t="s">
        <v>379</v>
      </c>
      <c r="S1807" s="142" t="s">
        <v>801</v>
      </c>
      <c r="T1807" s="144">
        <v>42169</v>
      </c>
      <c r="U1807" s="172">
        <f t="shared" si="96"/>
        <v>2015</v>
      </c>
      <c r="V1807" s="172">
        <f t="shared" si="97"/>
        <v>6</v>
      </c>
      <c r="W1807" s="97" t="s">
        <v>464</v>
      </c>
      <c r="X1807" t="s">
        <v>892</v>
      </c>
      <c r="Y1807" s="41">
        <v>1</v>
      </c>
      <c r="Z1807" s="13"/>
      <c r="AA1807" s="13">
        <f t="shared" si="95"/>
        <v>131000</v>
      </c>
      <c r="AE1807" s="42"/>
      <c r="AL1807" s="94" t="s">
        <v>819</v>
      </c>
      <c r="AM1807" s="86">
        <v>541796</v>
      </c>
    </row>
    <row r="1808" spans="13:39" hidden="1">
      <c r="M1808" s="141">
        <v>131000</v>
      </c>
      <c r="N1808" s="223">
        <v>403157</v>
      </c>
      <c r="O1808" s="142" t="s">
        <v>244</v>
      </c>
      <c r="P1808" s="142" t="s">
        <v>245</v>
      </c>
      <c r="Q1808" s="143" t="s">
        <v>491</v>
      </c>
      <c r="R1808" s="142" t="s">
        <v>379</v>
      </c>
      <c r="S1808" s="142" t="s">
        <v>801</v>
      </c>
      <c r="T1808" s="144">
        <v>42169</v>
      </c>
      <c r="U1808" s="172">
        <f t="shared" si="96"/>
        <v>2015</v>
      </c>
      <c r="V1808" s="172">
        <f t="shared" si="97"/>
        <v>6</v>
      </c>
      <c r="W1808" s="97" t="s">
        <v>464</v>
      </c>
      <c r="X1808" t="s">
        <v>892</v>
      </c>
      <c r="Y1808" s="41">
        <v>1</v>
      </c>
      <c r="Z1808" s="13"/>
      <c r="AA1808" s="13">
        <f t="shared" si="95"/>
        <v>131000</v>
      </c>
      <c r="AE1808" s="42"/>
      <c r="AL1808" s="94" t="s">
        <v>819</v>
      </c>
      <c r="AM1808" s="86">
        <v>541796</v>
      </c>
    </row>
    <row r="1809" spans="13:39" hidden="1">
      <c r="M1809" s="141">
        <v>132000</v>
      </c>
      <c r="N1809" s="223">
        <v>444147</v>
      </c>
      <c r="O1809" s="142" t="s">
        <v>244</v>
      </c>
      <c r="P1809" s="142" t="s">
        <v>245</v>
      </c>
      <c r="Q1809" s="145">
        <v>136</v>
      </c>
      <c r="R1809" s="142" t="s">
        <v>379</v>
      </c>
      <c r="S1809" s="142" t="s">
        <v>801</v>
      </c>
      <c r="T1809" s="144">
        <v>41763</v>
      </c>
      <c r="U1809" s="172">
        <f t="shared" si="96"/>
        <v>2014</v>
      </c>
      <c r="V1809" s="172">
        <f t="shared" si="97"/>
        <v>5</v>
      </c>
      <c r="W1809" s="97" t="s">
        <v>613</v>
      </c>
      <c r="X1809" t="s">
        <v>892</v>
      </c>
      <c r="Y1809" s="41">
        <v>1</v>
      </c>
      <c r="Z1809" s="13"/>
      <c r="AA1809" s="13">
        <f t="shared" si="95"/>
        <v>132000</v>
      </c>
      <c r="AE1809" s="42"/>
      <c r="AL1809" s="94" t="s">
        <v>819</v>
      </c>
      <c r="AM1809" s="86">
        <v>541796</v>
      </c>
    </row>
    <row r="1810" spans="13:39" hidden="1">
      <c r="M1810" s="141">
        <v>133000</v>
      </c>
      <c r="N1810" s="223">
        <v>321858</v>
      </c>
      <c r="O1810" s="142" t="s">
        <v>244</v>
      </c>
      <c r="P1810" s="142" t="s">
        <v>245</v>
      </c>
      <c r="Q1810" s="143" t="s">
        <v>606</v>
      </c>
      <c r="R1810" s="142" t="s">
        <v>379</v>
      </c>
      <c r="S1810" s="142" t="s">
        <v>801</v>
      </c>
      <c r="T1810" s="144">
        <v>41987</v>
      </c>
      <c r="U1810" s="172">
        <f t="shared" si="96"/>
        <v>2014</v>
      </c>
      <c r="V1810" s="172">
        <f t="shared" si="97"/>
        <v>12</v>
      </c>
      <c r="W1810" s="97" t="s">
        <v>586</v>
      </c>
      <c r="X1810" t="s">
        <v>892</v>
      </c>
      <c r="Y1810" s="41">
        <v>1</v>
      </c>
      <c r="Z1810" s="13"/>
      <c r="AA1810" s="13">
        <f t="shared" si="95"/>
        <v>133000</v>
      </c>
      <c r="AE1810" s="42"/>
      <c r="AL1810" s="94" t="s">
        <v>819</v>
      </c>
      <c r="AM1810" s="86">
        <v>541796</v>
      </c>
    </row>
    <row r="1811" spans="13:39" hidden="1">
      <c r="M1811" s="141">
        <v>133000</v>
      </c>
      <c r="N1811" s="223">
        <v>442958</v>
      </c>
      <c r="O1811" s="142" t="s">
        <v>244</v>
      </c>
      <c r="P1811" s="142" t="s">
        <v>245</v>
      </c>
      <c r="Q1811" s="145">
        <v>134</v>
      </c>
      <c r="R1811" s="142" t="s">
        <v>379</v>
      </c>
      <c r="S1811" s="142" t="s">
        <v>801</v>
      </c>
      <c r="T1811" s="144">
        <v>41763</v>
      </c>
      <c r="U1811" s="172">
        <f t="shared" si="96"/>
        <v>2014</v>
      </c>
      <c r="V1811" s="172">
        <f t="shared" si="97"/>
        <v>5</v>
      </c>
      <c r="W1811" s="97" t="s">
        <v>613</v>
      </c>
      <c r="X1811" t="s">
        <v>892</v>
      </c>
      <c r="Y1811" s="41">
        <v>1</v>
      </c>
      <c r="Z1811" s="13"/>
      <c r="AA1811" s="13">
        <f t="shared" si="95"/>
        <v>133000</v>
      </c>
      <c r="AE1811" s="42"/>
      <c r="AL1811" s="94" t="s">
        <v>819</v>
      </c>
      <c r="AM1811" s="86">
        <v>541796</v>
      </c>
    </row>
    <row r="1812" spans="13:39" hidden="1">
      <c r="M1812" s="141">
        <v>133000</v>
      </c>
      <c r="N1812" s="223">
        <v>447173</v>
      </c>
      <c r="O1812" s="142" t="s">
        <v>244</v>
      </c>
      <c r="P1812" s="142" t="s">
        <v>245</v>
      </c>
      <c r="Q1812" s="145">
        <v>139</v>
      </c>
      <c r="R1812" s="142" t="s">
        <v>379</v>
      </c>
      <c r="S1812" s="142" t="s">
        <v>801</v>
      </c>
      <c r="T1812" s="144">
        <v>41763</v>
      </c>
      <c r="U1812" s="172">
        <f t="shared" si="96"/>
        <v>2014</v>
      </c>
      <c r="V1812" s="172">
        <f t="shared" si="97"/>
        <v>5</v>
      </c>
      <c r="W1812" s="97" t="s">
        <v>613</v>
      </c>
      <c r="X1812" t="s">
        <v>892</v>
      </c>
      <c r="Y1812" s="41">
        <v>1</v>
      </c>
      <c r="Z1812" s="13"/>
      <c r="AA1812" s="13">
        <f t="shared" si="95"/>
        <v>133000</v>
      </c>
      <c r="AE1812" s="42"/>
      <c r="AL1812" s="94" t="s">
        <v>819</v>
      </c>
      <c r="AM1812" s="86">
        <v>541796</v>
      </c>
    </row>
    <row r="1813" spans="13:39" hidden="1">
      <c r="M1813" s="141">
        <v>134100</v>
      </c>
      <c r="N1813" s="223">
        <v>430306</v>
      </c>
      <c r="O1813" s="142" t="s">
        <v>244</v>
      </c>
      <c r="P1813" s="142" t="s">
        <v>245</v>
      </c>
      <c r="Q1813" s="143" t="s">
        <v>385</v>
      </c>
      <c r="R1813" s="142" t="s">
        <v>379</v>
      </c>
      <c r="S1813" s="142" t="s">
        <v>801</v>
      </c>
      <c r="T1813" s="144">
        <v>42722</v>
      </c>
      <c r="U1813" s="172">
        <f t="shared" si="96"/>
        <v>2016</v>
      </c>
      <c r="V1813" s="172">
        <f t="shared" si="97"/>
        <v>12</v>
      </c>
      <c r="W1813" s="97" t="s">
        <v>386</v>
      </c>
      <c r="X1813" t="s">
        <v>892</v>
      </c>
      <c r="Y1813">
        <v>1</v>
      </c>
      <c r="Z1813" s="13"/>
      <c r="AA1813" s="13">
        <f t="shared" si="95"/>
        <v>134100</v>
      </c>
      <c r="AE1813" s="42"/>
      <c r="AL1813" s="94" t="s">
        <v>819</v>
      </c>
      <c r="AM1813" s="86">
        <v>541796</v>
      </c>
    </row>
    <row r="1814" spans="13:39" hidden="1">
      <c r="M1814" s="141">
        <v>134151</v>
      </c>
      <c r="N1814" s="223">
        <v>439779</v>
      </c>
      <c r="O1814" s="142" t="s">
        <v>244</v>
      </c>
      <c r="P1814" s="142" t="s">
        <v>245</v>
      </c>
      <c r="Q1814" s="143" t="s">
        <v>550</v>
      </c>
      <c r="R1814" s="142" t="s">
        <v>379</v>
      </c>
      <c r="S1814" s="142" t="s">
        <v>801</v>
      </c>
      <c r="T1814" s="144">
        <v>42169</v>
      </c>
      <c r="U1814" s="172">
        <f t="shared" si="96"/>
        <v>2015</v>
      </c>
      <c r="V1814" s="172">
        <f t="shared" si="97"/>
        <v>6</v>
      </c>
      <c r="W1814" s="97" t="s">
        <v>464</v>
      </c>
      <c r="X1814" t="s">
        <v>892</v>
      </c>
      <c r="Y1814" s="41">
        <v>1</v>
      </c>
      <c r="Z1814" s="13"/>
      <c r="AA1814" s="13">
        <f t="shared" si="95"/>
        <v>134151</v>
      </c>
      <c r="AE1814" s="42"/>
      <c r="AL1814" s="94" t="s">
        <v>819</v>
      </c>
      <c r="AM1814" s="86">
        <v>541796</v>
      </c>
    </row>
    <row r="1815" spans="13:39" hidden="1">
      <c r="M1815" s="141">
        <v>134157</v>
      </c>
      <c r="N1815" s="223">
        <v>389728</v>
      </c>
      <c r="O1815" s="142" t="s">
        <v>244</v>
      </c>
      <c r="P1815" s="142" t="s">
        <v>245</v>
      </c>
      <c r="Q1815" s="143" t="s">
        <v>495</v>
      </c>
      <c r="R1815" s="142" t="s">
        <v>379</v>
      </c>
      <c r="S1815" s="142" t="s">
        <v>801</v>
      </c>
      <c r="T1815" s="144">
        <v>42169</v>
      </c>
      <c r="U1815" s="172">
        <f t="shared" si="96"/>
        <v>2015</v>
      </c>
      <c r="V1815" s="172">
        <f t="shared" si="97"/>
        <v>6</v>
      </c>
      <c r="W1815" s="97" t="s">
        <v>464</v>
      </c>
      <c r="X1815" t="s">
        <v>892</v>
      </c>
      <c r="Y1815" s="41">
        <v>1</v>
      </c>
      <c r="Z1815" s="13"/>
      <c r="AA1815" s="13">
        <f t="shared" si="95"/>
        <v>134157</v>
      </c>
      <c r="AE1815" s="42"/>
      <c r="AL1815" s="94" t="s">
        <v>819</v>
      </c>
      <c r="AM1815" s="86">
        <v>541796</v>
      </c>
    </row>
    <row r="1816" spans="13:39" hidden="1">
      <c r="M1816" s="141">
        <v>135000</v>
      </c>
      <c r="N1816" s="222">
        <v>362871</v>
      </c>
      <c r="O1816" s="142" t="s">
        <v>244</v>
      </c>
      <c r="P1816" s="142" t="s">
        <v>245</v>
      </c>
      <c r="Q1816" s="143" t="s">
        <v>559</v>
      </c>
      <c r="R1816" s="142" t="s">
        <v>379</v>
      </c>
      <c r="S1816" s="142" t="s">
        <v>801</v>
      </c>
      <c r="T1816" s="144">
        <v>42169</v>
      </c>
      <c r="U1816" s="172">
        <f t="shared" si="96"/>
        <v>2015</v>
      </c>
      <c r="V1816" s="172">
        <f t="shared" si="97"/>
        <v>6</v>
      </c>
      <c r="W1816" s="97" t="s">
        <v>464</v>
      </c>
      <c r="X1816" t="s">
        <v>892</v>
      </c>
      <c r="Y1816" s="41">
        <v>1</v>
      </c>
      <c r="Z1816" s="13"/>
      <c r="AA1816" s="13">
        <f t="shared" si="95"/>
        <v>135000</v>
      </c>
      <c r="AE1816" s="42"/>
      <c r="AL1816" s="94" t="s">
        <v>819</v>
      </c>
      <c r="AM1816" s="86">
        <v>541796</v>
      </c>
    </row>
    <row r="1817" spans="13:39" hidden="1">
      <c r="M1817" s="141">
        <v>135000</v>
      </c>
      <c r="N1817" s="223">
        <v>398274</v>
      </c>
      <c r="O1817" s="142" t="s">
        <v>244</v>
      </c>
      <c r="P1817" s="142" t="s">
        <v>245</v>
      </c>
      <c r="Q1817" s="143" t="s">
        <v>504</v>
      </c>
      <c r="R1817" s="142" t="s">
        <v>379</v>
      </c>
      <c r="S1817" s="142" t="s">
        <v>801</v>
      </c>
      <c r="T1817" s="144">
        <v>42169</v>
      </c>
      <c r="U1817" s="172">
        <f t="shared" si="96"/>
        <v>2015</v>
      </c>
      <c r="V1817" s="172">
        <f t="shared" si="97"/>
        <v>6</v>
      </c>
      <c r="W1817" s="97" t="s">
        <v>464</v>
      </c>
      <c r="X1817" t="s">
        <v>892</v>
      </c>
      <c r="Y1817" s="41">
        <v>1</v>
      </c>
      <c r="Z1817" s="13"/>
      <c r="AA1817" s="13">
        <f t="shared" si="95"/>
        <v>135000</v>
      </c>
      <c r="AE1817" s="42"/>
      <c r="AL1817" s="94" t="s">
        <v>819</v>
      </c>
      <c r="AM1817" s="86">
        <v>541796</v>
      </c>
    </row>
    <row r="1818" spans="13:39" hidden="1">
      <c r="M1818" s="141">
        <v>135155</v>
      </c>
      <c r="N1818" s="223">
        <v>444795</v>
      </c>
      <c r="O1818" s="142" t="s">
        <v>244</v>
      </c>
      <c r="P1818" s="142" t="s">
        <v>245</v>
      </c>
      <c r="Q1818" s="145">
        <v>126</v>
      </c>
      <c r="R1818" s="142" t="s">
        <v>379</v>
      </c>
      <c r="S1818" s="142" t="s">
        <v>801</v>
      </c>
      <c r="T1818" s="144">
        <v>41763</v>
      </c>
      <c r="U1818" s="172">
        <f t="shared" si="96"/>
        <v>2014</v>
      </c>
      <c r="V1818" s="172">
        <f t="shared" si="97"/>
        <v>5</v>
      </c>
      <c r="W1818" s="97" t="s">
        <v>613</v>
      </c>
      <c r="X1818" t="s">
        <v>892</v>
      </c>
      <c r="Y1818" s="41">
        <v>1</v>
      </c>
      <c r="Z1818" s="13"/>
      <c r="AA1818" s="13">
        <f t="shared" si="95"/>
        <v>135155</v>
      </c>
      <c r="AE1818" s="42"/>
      <c r="AL1818" s="94" t="s">
        <v>819</v>
      </c>
      <c r="AM1818" s="86">
        <v>541796</v>
      </c>
    </row>
    <row r="1819" spans="13:39" hidden="1">
      <c r="M1819" s="141">
        <v>135660</v>
      </c>
      <c r="N1819" s="223">
        <v>426351</v>
      </c>
      <c r="O1819" s="142" t="s">
        <v>244</v>
      </c>
      <c r="P1819" s="142" t="s">
        <v>245</v>
      </c>
      <c r="Q1819" s="143" t="s">
        <v>539</v>
      </c>
      <c r="R1819" s="142" t="s">
        <v>379</v>
      </c>
      <c r="S1819" s="142" t="s">
        <v>801</v>
      </c>
      <c r="T1819" s="144">
        <v>42169</v>
      </c>
      <c r="U1819" s="172">
        <f t="shared" si="96"/>
        <v>2015</v>
      </c>
      <c r="V1819" s="172">
        <f t="shared" si="97"/>
        <v>6</v>
      </c>
      <c r="W1819" s="97" t="s">
        <v>464</v>
      </c>
      <c r="X1819" t="s">
        <v>892</v>
      </c>
      <c r="Y1819" s="41">
        <v>1</v>
      </c>
      <c r="Z1819" s="13"/>
      <c r="AA1819" s="13">
        <f t="shared" si="95"/>
        <v>135660</v>
      </c>
      <c r="AE1819" s="42"/>
      <c r="AL1819" s="94" t="s">
        <v>819</v>
      </c>
      <c r="AM1819" s="86">
        <v>541796</v>
      </c>
    </row>
    <row r="1820" spans="13:39" hidden="1">
      <c r="M1820" s="141">
        <v>135875</v>
      </c>
      <c r="N1820" s="223">
        <v>389728</v>
      </c>
      <c r="O1820" s="142" t="s">
        <v>244</v>
      </c>
      <c r="P1820" s="142" t="s">
        <v>245</v>
      </c>
      <c r="Q1820" s="143" t="s">
        <v>517</v>
      </c>
      <c r="R1820" s="142" t="s">
        <v>379</v>
      </c>
      <c r="S1820" s="142" t="s">
        <v>801</v>
      </c>
      <c r="T1820" s="144">
        <v>42169</v>
      </c>
      <c r="U1820" s="172">
        <f t="shared" si="96"/>
        <v>2015</v>
      </c>
      <c r="V1820" s="172">
        <f t="shared" si="97"/>
        <v>6</v>
      </c>
      <c r="W1820" s="97" t="s">
        <v>464</v>
      </c>
      <c r="X1820" t="s">
        <v>892</v>
      </c>
      <c r="Y1820" s="41">
        <v>1</v>
      </c>
      <c r="Z1820" s="13"/>
      <c r="AA1820" s="13">
        <f t="shared" si="95"/>
        <v>135875</v>
      </c>
      <c r="AE1820" s="42"/>
      <c r="AL1820" s="94" t="s">
        <v>819</v>
      </c>
      <c r="AM1820" s="86">
        <v>541796</v>
      </c>
    </row>
    <row r="1821" spans="13:39" hidden="1">
      <c r="M1821" s="141">
        <v>136000</v>
      </c>
      <c r="N1821" s="223">
        <v>445984</v>
      </c>
      <c r="O1821" s="142" t="s">
        <v>244</v>
      </c>
      <c r="P1821" s="142" t="s">
        <v>245</v>
      </c>
      <c r="Q1821" s="145">
        <v>142</v>
      </c>
      <c r="R1821" s="142" t="s">
        <v>379</v>
      </c>
      <c r="S1821" s="142" t="s">
        <v>801</v>
      </c>
      <c r="T1821" s="144">
        <v>41763</v>
      </c>
      <c r="U1821" s="172">
        <f t="shared" si="96"/>
        <v>2014</v>
      </c>
      <c r="V1821" s="172">
        <f t="shared" si="97"/>
        <v>5</v>
      </c>
      <c r="W1821" s="97" t="s">
        <v>613</v>
      </c>
      <c r="X1821" t="s">
        <v>892</v>
      </c>
      <c r="Y1821" s="41">
        <v>1</v>
      </c>
      <c r="Z1821" s="13"/>
      <c r="AA1821" s="13">
        <f t="shared" si="95"/>
        <v>136000</v>
      </c>
      <c r="AE1821" s="42"/>
      <c r="AL1821" s="94" t="s">
        <v>819</v>
      </c>
      <c r="AM1821" s="86">
        <v>541901</v>
      </c>
    </row>
    <row r="1822" spans="13:39" hidden="1">
      <c r="M1822" s="141">
        <v>137100</v>
      </c>
      <c r="N1822" s="223">
        <v>443442</v>
      </c>
      <c r="O1822" s="142" t="s">
        <v>244</v>
      </c>
      <c r="P1822" s="142" t="s">
        <v>245</v>
      </c>
      <c r="Q1822" s="143" t="s">
        <v>478</v>
      </c>
      <c r="R1822" s="142" t="s">
        <v>379</v>
      </c>
      <c r="S1822" s="142" t="s">
        <v>801</v>
      </c>
      <c r="T1822" s="144">
        <v>42169</v>
      </c>
      <c r="U1822" s="172">
        <f t="shared" si="96"/>
        <v>2015</v>
      </c>
      <c r="V1822" s="172">
        <f t="shared" si="97"/>
        <v>6</v>
      </c>
      <c r="W1822" s="97" t="s">
        <v>464</v>
      </c>
      <c r="X1822" t="s">
        <v>892</v>
      </c>
      <c r="Y1822" s="41">
        <v>1</v>
      </c>
      <c r="Z1822" s="13"/>
      <c r="AA1822" s="13">
        <f t="shared" si="95"/>
        <v>137100</v>
      </c>
      <c r="AE1822" s="42"/>
      <c r="AL1822" s="94" t="s">
        <v>819</v>
      </c>
      <c r="AM1822" s="86">
        <v>542364</v>
      </c>
    </row>
    <row r="1823" spans="13:39" hidden="1">
      <c r="M1823" s="141">
        <v>137770</v>
      </c>
      <c r="N1823" s="223">
        <v>400715</v>
      </c>
      <c r="O1823" s="142" t="s">
        <v>244</v>
      </c>
      <c r="P1823" s="142" t="s">
        <v>245</v>
      </c>
      <c r="Q1823" s="143" t="s">
        <v>466</v>
      </c>
      <c r="R1823" s="142" t="s">
        <v>379</v>
      </c>
      <c r="S1823" s="142" t="s">
        <v>801</v>
      </c>
      <c r="T1823" s="144">
        <v>42169</v>
      </c>
      <c r="U1823" s="172">
        <f t="shared" si="96"/>
        <v>2015</v>
      </c>
      <c r="V1823" s="172">
        <f t="shared" si="97"/>
        <v>6</v>
      </c>
      <c r="W1823" s="97" t="s">
        <v>464</v>
      </c>
      <c r="X1823" t="s">
        <v>892</v>
      </c>
      <c r="Y1823" s="41">
        <v>1</v>
      </c>
      <c r="Z1823" s="13"/>
      <c r="AA1823" s="13">
        <f t="shared" si="95"/>
        <v>137770</v>
      </c>
      <c r="AE1823" s="42"/>
      <c r="AL1823" s="94" t="s">
        <v>819</v>
      </c>
      <c r="AM1823" s="86">
        <v>542364</v>
      </c>
    </row>
    <row r="1824" spans="13:39" hidden="1">
      <c r="M1824" s="141">
        <v>138000</v>
      </c>
      <c r="N1824" s="223">
        <v>442221</v>
      </c>
      <c r="O1824" s="142" t="s">
        <v>244</v>
      </c>
      <c r="P1824" s="142" t="s">
        <v>245</v>
      </c>
      <c r="Q1824" s="143" t="s">
        <v>500</v>
      </c>
      <c r="R1824" s="142" t="s">
        <v>379</v>
      </c>
      <c r="S1824" s="142" t="s">
        <v>801</v>
      </c>
      <c r="T1824" s="144">
        <v>42169</v>
      </c>
      <c r="U1824" s="172">
        <f t="shared" si="96"/>
        <v>2015</v>
      </c>
      <c r="V1824" s="172">
        <f t="shared" si="97"/>
        <v>6</v>
      </c>
      <c r="W1824" s="97" t="s">
        <v>464</v>
      </c>
      <c r="X1824" t="s">
        <v>892</v>
      </c>
      <c r="Y1824" s="41">
        <v>1</v>
      </c>
      <c r="Z1824" s="13"/>
      <c r="AA1824" s="13">
        <f t="shared" si="95"/>
        <v>138000</v>
      </c>
      <c r="AE1824" s="42"/>
      <c r="AL1824" s="94" t="s">
        <v>819</v>
      </c>
      <c r="AM1824" s="86">
        <v>542364</v>
      </c>
    </row>
    <row r="1825" spans="13:39" hidden="1">
      <c r="M1825" s="141">
        <v>140000</v>
      </c>
      <c r="N1825" s="223">
        <v>334237</v>
      </c>
      <c r="O1825" s="142" t="s">
        <v>244</v>
      </c>
      <c r="P1825" s="142" t="s">
        <v>245</v>
      </c>
      <c r="Q1825" s="145">
        <v>10</v>
      </c>
      <c r="R1825" s="142" t="s">
        <v>379</v>
      </c>
      <c r="S1825" s="142" t="s">
        <v>801</v>
      </c>
      <c r="T1825" s="144">
        <v>41987</v>
      </c>
      <c r="U1825" s="172">
        <f t="shared" si="96"/>
        <v>2014</v>
      </c>
      <c r="V1825" s="172">
        <f t="shared" si="97"/>
        <v>12</v>
      </c>
      <c r="W1825" s="97" t="s">
        <v>586</v>
      </c>
      <c r="X1825" t="s">
        <v>892</v>
      </c>
      <c r="Y1825" s="41">
        <v>1</v>
      </c>
      <c r="Z1825" s="13"/>
      <c r="AA1825" s="13">
        <f t="shared" si="95"/>
        <v>140000</v>
      </c>
      <c r="AE1825" s="42"/>
      <c r="AL1825" s="94" t="s">
        <v>819</v>
      </c>
      <c r="AM1825" s="86">
        <v>542364</v>
      </c>
    </row>
    <row r="1826" spans="13:39" hidden="1">
      <c r="M1826" s="141">
        <v>140555</v>
      </c>
      <c r="N1826" s="223">
        <v>596765</v>
      </c>
      <c r="O1826" s="142" t="s">
        <v>244</v>
      </c>
      <c r="P1826" s="142" t="s">
        <v>245</v>
      </c>
      <c r="Q1826" s="145">
        <v>130</v>
      </c>
      <c r="R1826" s="142" t="s">
        <v>379</v>
      </c>
      <c r="S1826" s="142" t="s">
        <v>801</v>
      </c>
      <c r="T1826" s="144">
        <v>42169</v>
      </c>
      <c r="U1826" s="172">
        <f t="shared" si="96"/>
        <v>2015</v>
      </c>
      <c r="V1826" s="172">
        <f t="shared" si="97"/>
        <v>6</v>
      </c>
      <c r="W1826" s="97" t="s">
        <v>464</v>
      </c>
      <c r="X1826" t="s">
        <v>892</v>
      </c>
      <c r="Y1826" s="41">
        <v>1</v>
      </c>
      <c r="Z1826" s="13"/>
      <c r="AA1826" s="13">
        <f t="shared" si="95"/>
        <v>140555</v>
      </c>
      <c r="AE1826" s="42"/>
      <c r="AL1826" s="94" t="s">
        <v>819</v>
      </c>
      <c r="AM1826" s="86">
        <v>542364</v>
      </c>
    </row>
    <row r="1827" spans="13:39" hidden="1">
      <c r="M1827" s="141">
        <v>141000</v>
      </c>
      <c r="N1827" s="222">
        <v>383624</v>
      </c>
      <c r="O1827" s="142" t="s">
        <v>244</v>
      </c>
      <c r="P1827" s="142" t="s">
        <v>245</v>
      </c>
      <c r="Q1827" s="143" t="s">
        <v>546</v>
      </c>
      <c r="R1827" s="142" t="s">
        <v>379</v>
      </c>
      <c r="S1827" s="142" t="s">
        <v>801</v>
      </c>
      <c r="T1827" s="144">
        <v>42169</v>
      </c>
      <c r="U1827" s="172">
        <f t="shared" si="96"/>
        <v>2015</v>
      </c>
      <c r="V1827" s="172">
        <f t="shared" si="97"/>
        <v>6</v>
      </c>
      <c r="W1827" s="97" t="s">
        <v>464</v>
      </c>
      <c r="X1827" t="s">
        <v>892</v>
      </c>
      <c r="Y1827" s="41">
        <v>1</v>
      </c>
      <c r="Z1827" s="13"/>
      <c r="AA1827" s="13">
        <f t="shared" si="95"/>
        <v>141000</v>
      </c>
      <c r="AE1827" s="42"/>
      <c r="AL1827" s="94" t="s">
        <v>819</v>
      </c>
      <c r="AM1827" s="86">
        <v>542364</v>
      </c>
    </row>
    <row r="1828" spans="13:39" hidden="1">
      <c r="M1828" s="141">
        <v>141000</v>
      </c>
      <c r="N1828" s="223">
        <v>420247</v>
      </c>
      <c r="O1828" s="142" t="s">
        <v>244</v>
      </c>
      <c r="P1828" s="142" t="s">
        <v>245</v>
      </c>
      <c r="Q1828" s="143" t="s">
        <v>514</v>
      </c>
      <c r="R1828" s="142" t="s">
        <v>379</v>
      </c>
      <c r="S1828" s="142" t="s">
        <v>801</v>
      </c>
      <c r="T1828" s="144">
        <v>42169</v>
      </c>
      <c r="U1828" s="172">
        <f t="shared" si="96"/>
        <v>2015</v>
      </c>
      <c r="V1828" s="172">
        <f t="shared" si="97"/>
        <v>6</v>
      </c>
      <c r="W1828" s="97" t="s">
        <v>464</v>
      </c>
      <c r="X1828" t="s">
        <v>892</v>
      </c>
      <c r="Y1828" s="41">
        <v>1</v>
      </c>
      <c r="Z1828" s="13"/>
      <c r="AA1828" s="13">
        <f t="shared" si="95"/>
        <v>141000</v>
      </c>
      <c r="AE1828" s="42"/>
      <c r="AL1828" s="94" t="s">
        <v>819</v>
      </c>
      <c r="AM1828" s="86">
        <v>542364</v>
      </c>
    </row>
    <row r="1829" spans="13:39" hidden="1">
      <c r="M1829" s="141">
        <v>141200</v>
      </c>
      <c r="N1829" s="223">
        <v>561791</v>
      </c>
      <c r="O1829" s="142" t="s">
        <v>244</v>
      </c>
      <c r="P1829" s="142" t="s">
        <v>245</v>
      </c>
      <c r="Q1829" s="143" t="s">
        <v>455</v>
      </c>
      <c r="R1829" s="142" t="s">
        <v>379</v>
      </c>
      <c r="S1829" s="142" t="s">
        <v>801</v>
      </c>
      <c r="T1829" s="144">
        <v>42498</v>
      </c>
      <c r="U1829" s="172">
        <f t="shared" si="96"/>
        <v>2016</v>
      </c>
      <c r="V1829" s="172">
        <f t="shared" si="97"/>
        <v>5</v>
      </c>
      <c r="W1829" s="97" t="s">
        <v>445</v>
      </c>
      <c r="X1829" t="s">
        <v>892</v>
      </c>
      <c r="Y1829">
        <v>1</v>
      </c>
      <c r="Z1829" s="13"/>
      <c r="AA1829" s="13">
        <f t="shared" si="95"/>
        <v>141200</v>
      </c>
      <c r="AE1829" s="42"/>
      <c r="AL1829" s="94" t="s">
        <v>819</v>
      </c>
      <c r="AM1829" s="86">
        <v>542364</v>
      </c>
    </row>
    <row r="1830" spans="13:39" hidden="1">
      <c r="M1830" s="141">
        <v>141300</v>
      </c>
      <c r="N1830" s="223">
        <v>389728</v>
      </c>
      <c r="O1830" s="142" t="s">
        <v>244</v>
      </c>
      <c r="P1830" s="142" t="s">
        <v>245</v>
      </c>
      <c r="Q1830" s="143" t="s">
        <v>516</v>
      </c>
      <c r="R1830" s="142" t="s">
        <v>379</v>
      </c>
      <c r="S1830" s="142" t="s">
        <v>801</v>
      </c>
      <c r="T1830" s="144">
        <v>42169</v>
      </c>
      <c r="U1830" s="172">
        <f t="shared" si="96"/>
        <v>2015</v>
      </c>
      <c r="V1830" s="172">
        <f t="shared" si="97"/>
        <v>6</v>
      </c>
      <c r="W1830" s="97" t="s">
        <v>464</v>
      </c>
      <c r="X1830" t="s">
        <v>892</v>
      </c>
      <c r="Y1830" s="41">
        <v>1</v>
      </c>
      <c r="Z1830" s="13"/>
      <c r="AA1830" s="13">
        <f t="shared" si="95"/>
        <v>141300</v>
      </c>
      <c r="AE1830" s="42"/>
      <c r="AL1830" s="94" t="s">
        <v>819</v>
      </c>
      <c r="AM1830" s="86">
        <v>542364</v>
      </c>
    </row>
    <row r="1831" spans="13:39" hidden="1">
      <c r="M1831" s="141">
        <v>141500</v>
      </c>
      <c r="N1831" s="223">
        <v>422689</v>
      </c>
      <c r="O1831" s="142" t="s">
        <v>244</v>
      </c>
      <c r="P1831" s="142" t="s">
        <v>245</v>
      </c>
      <c r="Q1831" s="143" t="s">
        <v>501</v>
      </c>
      <c r="R1831" s="142" t="s">
        <v>379</v>
      </c>
      <c r="S1831" s="142" t="s">
        <v>801</v>
      </c>
      <c r="T1831" s="144">
        <v>42169</v>
      </c>
      <c r="U1831" s="172">
        <f t="shared" si="96"/>
        <v>2015</v>
      </c>
      <c r="V1831" s="172">
        <f t="shared" si="97"/>
        <v>6</v>
      </c>
      <c r="W1831" s="97" t="s">
        <v>464</v>
      </c>
      <c r="X1831" t="s">
        <v>892</v>
      </c>
      <c r="Y1831" s="41">
        <v>1</v>
      </c>
      <c r="Z1831" s="13"/>
      <c r="AA1831" s="13">
        <f t="shared" si="95"/>
        <v>141500</v>
      </c>
      <c r="AE1831" s="42"/>
      <c r="AL1831" s="94" t="s">
        <v>819</v>
      </c>
      <c r="AM1831" s="86">
        <v>542364</v>
      </c>
    </row>
    <row r="1832" spans="13:39" hidden="1">
      <c r="M1832" s="141">
        <v>141500</v>
      </c>
      <c r="N1832" s="223">
        <v>422689</v>
      </c>
      <c r="O1832" s="142" t="s">
        <v>244</v>
      </c>
      <c r="P1832" s="142" t="s">
        <v>245</v>
      </c>
      <c r="Q1832" s="143" t="s">
        <v>502</v>
      </c>
      <c r="R1832" s="142" t="s">
        <v>379</v>
      </c>
      <c r="S1832" s="142" t="s">
        <v>801</v>
      </c>
      <c r="T1832" s="144">
        <v>42169</v>
      </c>
      <c r="U1832" s="172">
        <f t="shared" si="96"/>
        <v>2015</v>
      </c>
      <c r="V1832" s="172">
        <f t="shared" si="97"/>
        <v>6</v>
      </c>
      <c r="W1832" s="97" t="s">
        <v>464</v>
      </c>
      <c r="X1832" t="s">
        <v>892</v>
      </c>
      <c r="Y1832" s="41">
        <v>1</v>
      </c>
      <c r="Z1832" s="13"/>
      <c r="AA1832" s="13">
        <f t="shared" si="95"/>
        <v>141500</v>
      </c>
      <c r="AE1832" s="42"/>
      <c r="AL1832" s="94" t="s">
        <v>819</v>
      </c>
      <c r="AM1832" s="86">
        <v>542364</v>
      </c>
    </row>
    <row r="1833" spans="13:39" hidden="1">
      <c r="M1833" s="141">
        <v>141976</v>
      </c>
      <c r="N1833" s="223">
        <v>321858</v>
      </c>
      <c r="O1833" s="142" t="s">
        <v>244</v>
      </c>
      <c r="P1833" s="142" t="s">
        <v>245</v>
      </c>
      <c r="Q1833" s="145">
        <v>32</v>
      </c>
      <c r="R1833" s="142" t="s">
        <v>379</v>
      </c>
      <c r="S1833" s="142" t="s">
        <v>801</v>
      </c>
      <c r="T1833" s="144">
        <v>41987</v>
      </c>
      <c r="U1833" s="172">
        <f t="shared" si="96"/>
        <v>2014</v>
      </c>
      <c r="V1833" s="172">
        <f t="shared" si="97"/>
        <v>12</v>
      </c>
      <c r="W1833" s="97" t="s">
        <v>586</v>
      </c>
      <c r="X1833" t="s">
        <v>892</v>
      </c>
      <c r="Y1833" s="41">
        <v>1</v>
      </c>
      <c r="Z1833" s="13"/>
      <c r="AA1833" s="13">
        <f t="shared" si="95"/>
        <v>141976</v>
      </c>
      <c r="AE1833" s="42"/>
      <c r="AL1833" s="94" t="s">
        <v>819</v>
      </c>
      <c r="AM1833" s="86">
        <v>542364</v>
      </c>
    </row>
    <row r="1834" spans="13:39" hidden="1">
      <c r="M1834" s="141">
        <v>144000</v>
      </c>
      <c r="N1834" s="223">
        <v>430014</v>
      </c>
      <c r="O1834" s="142" t="s">
        <v>244</v>
      </c>
      <c r="P1834" s="142" t="s">
        <v>245</v>
      </c>
      <c r="Q1834" s="143" t="s">
        <v>542</v>
      </c>
      <c r="R1834" s="142" t="s">
        <v>379</v>
      </c>
      <c r="S1834" s="142" t="s">
        <v>801</v>
      </c>
      <c r="T1834" s="144">
        <v>42169</v>
      </c>
      <c r="U1834" s="172">
        <f t="shared" si="96"/>
        <v>2015</v>
      </c>
      <c r="V1834" s="172">
        <f t="shared" si="97"/>
        <v>6</v>
      </c>
      <c r="W1834" s="97" t="s">
        <v>464</v>
      </c>
      <c r="X1834" t="s">
        <v>892</v>
      </c>
      <c r="Y1834" s="41">
        <v>1</v>
      </c>
      <c r="Z1834" s="13"/>
      <c r="AA1834" s="13">
        <f t="shared" si="95"/>
        <v>144000</v>
      </c>
      <c r="AE1834" s="42"/>
      <c r="AL1834" s="94" t="s">
        <v>819</v>
      </c>
      <c r="AM1834" s="86">
        <v>542364</v>
      </c>
    </row>
    <row r="1835" spans="13:39" hidden="1">
      <c r="M1835" s="141">
        <v>144111</v>
      </c>
      <c r="N1835" s="223">
        <v>386066</v>
      </c>
      <c r="O1835" s="142" t="s">
        <v>244</v>
      </c>
      <c r="P1835" s="142" t="s">
        <v>245</v>
      </c>
      <c r="Q1835" s="143" t="s">
        <v>470</v>
      </c>
      <c r="R1835" s="142" t="s">
        <v>379</v>
      </c>
      <c r="S1835" s="142" t="s">
        <v>801</v>
      </c>
      <c r="T1835" s="144">
        <v>42169</v>
      </c>
      <c r="U1835" s="172">
        <f t="shared" si="96"/>
        <v>2015</v>
      </c>
      <c r="V1835" s="172">
        <f t="shared" si="97"/>
        <v>6</v>
      </c>
      <c r="W1835" s="97" t="s">
        <v>464</v>
      </c>
      <c r="X1835" t="s">
        <v>892</v>
      </c>
      <c r="Y1835" s="41">
        <v>1</v>
      </c>
      <c r="Z1835" s="13"/>
      <c r="AA1835" s="13">
        <f t="shared" si="95"/>
        <v>144111</v>
      </c>
      <c r="AE1835" s="42"/>
      <c r="AL1835" s="94" t="s">
        <v>819</v>
      </c>
      <c r="AM1835" s="86">
        <v>542396</v>
      </c>
    </row>
    <row r="1836" spans="13:39" hidden="1">
      <c r="M1836" s="141">
        <v>144509</v>
      </c>
      <c r="N1836" s="223">
        <v>446306</v>
      </c>
      <c r="O1836" s="142" t="s">
        <v>244</v>
      </c>
      <c r="P1836" s="142" t="s">
        <v>245</v>
      </c>
      <c r="Q1836" s="143" t="s">
        <v>428</v>
      </c>
      <c r="R1836" s="142" t="s">
        <v>379</v>
      </c>
      <c r="S1836" s="142" t="s">
        <v>801</v>
      </c>
      <c r="T1836" s="144">
        <v>42722</v>
      </c>
      <c r="U1836" s="172">
        <f t="shared" si="96"/>
        <v>2016</v>
      </c>
      <c r="V1836" s="172">
        <f t="shared" si="97"/>
        <v>12</v>
      </c>
      <c r="W1836" s="97" t="s">
        <v>386</v>
      </c>
      <c r="X1836" t="s">
        <v>892</v>
      </c>
      <c r="Y1836">
        <v>1</v>
      </c>
      <c r="Z1836" s="13"/>
      <c r="AA1836" s="13">
        <f t="shared" si="95"/>
        <v>144509</v>
      </c>
      <c r="AE1836" s="42"/>
      <c r="AL1836" s="94" t="s">
        <v>819</v>
      </c>
      <c r="AM1836" s="86">
        <v>542891</v>
      </c>
    </row>
    <row r="1837" spans="13:39" hidden="1">
      <c r="M1837" s="141">
        <v>145000</v>
      </c>
      <c r="N1837" s="223">
        <v>386066</v>
      </c>
      <c r="O1837" s="142" t="s">
        <v>244</v>
      </c>
      <c r="P1837" s="142" t="s">
        <v>245</v>
      </c>
      <c r="Q1837" s="143" t="s">
        <v>523</v>
      </c>
      <c r="R1837" s="142" t="s">
        <v>379</v>
      </c>
      <c r="S1837" s="142" t="s">
        <v>801</v>
      </c>
      <c r="T1837" s="144">
        <v>42169</v>
      </c>
      <c r="U1837" s="172">
        <f t="shared" si="96"/>
        <v>2015</v>
      </c>
      <c r="V1837" s="172">
        <f t="shared" si="97"/>
        <v>6</v>
      </c>
      <c r="W1837" s="97" t="s">
        <v>464</v>
      </c>
      <c r="X1837" t="s">
        <v>892</v>
      </c>
      <c r="Y1837" s="41">
        <v>1</v>
      </c>
      <c r="Z1837" s="13"/>
      <c r="AA1837" s="13">
        <f t="shared" si="95"/>
        <v>145000</v>
      </c>
      <c r="AE1837" s="42"/>
      <c r="AL1837" s="94" t="s">
        <v>819</v>
      </c>
      <c r="AM1837" s="86">
        <v>542891</v>
      </c>
    </row>
    <row r="1838" spans="13:39" hidden="1">
      <c r="M1838" s="141">
        <v>145000</v>
      </c>
      <c r="N1838" s="223">
        <v>388507</v>
      </c>
      <c r="O1838" s="142" t="s">
        <v>244</v>
      </c>
      <c r="P1838" s="142" t="s">
        <v>245</v>
      </c>
      <c r="Q1838" s="143" t="s">
        <v>564</v>
      </c>
      <c r="R1838" s="142" t="s">
        <v>379</v>
      </c>
      <c r="S1838" s="142" t="s">
        <v>801</v>
      </c>
      <c r="T1838" s="144">
        <v>42169</v>
      </c>
      <c r="U1838" s="172">
        <f t="shared" si="96"/>
        <v>2015</v>
      </c>
      <c r="V1838" s="172">
        <f t="shared" si="97"/>
        <v>6</v>
      </c>
      <c r="W1838" s="97" t="s">
        <v>464</v>
      </c>
      <c r="X1838" t="s">
        <v>892</v>
      </c>
      <c r="Y1838" s="41">
        <v>1</v>
      </c>
      <c r="Z1838" s="13"/>
      <c r="AA1838" s="13">
        <f t="shared" si="95"/>
        <v>145000</v>
      </c>
      <c r="AE1838" s="42"/>
      <c r="AL1838" s="94" t="s">
        <v>819</v>
      </c>
      <c r="AM1838" s="86">
        <v>542935</v>
      </c>
    </row>
    <row r="1839" spans="13:39" hidden="1">
      <c r="M1839" s="141">
        <v>145026</v>
      </c>
      <c r="N1839" s="223">
        <v>392170</v>
      </c>
      <c r="O1839" s="142" t="s">
        <v>244</v>
      </c>
      <c r="P1839" s="142" t="s">
        <v>245</v>
      </c>
      <c r="Q1839" s="143" t="s">
        <v>568</v>
      </c>
      <c r="R1839" s="142" t="s">
        <v>379</v>
      </c>
      <c r="S1839" s="142" t="s">
        <v>801</v>
      </c>
      <c r="T1839" s="144">
        <v>42169</v>
      </c>
      <c r="U1839" s="172">
        <f t="shared" si="96"/>
        <v>2015</v>
      </c>
      <c r="V1839" s="172">
        <f t="shared" si="97"/>
        <v>6</v>
      </c>
      <c r="W1839" s="97" t="s">
        <v>464</v>
      </c>
      <c r="X1839" t="s">
        <v>892</v>
      </c>
      <c r="Y1839" s="41">
        <v>1</v>
      </c>
      <c r="Z1839" s="13"/>
      <c r="AA1839" s="13">
        <f t="shared" si="95"/>
        <v>145026</v>
      </c>
      <c r="AE1839" s="42"/>
      <c r="AL1839" s="94" t="s">
        <v>819</v>
      </c>
      <c r="AM1839" s="86">
        <v>542935</v>
      </c>
    </row>
    <row r="1840" spans="13:39" hidden="1">
      <c r="M1840" s="141">
        <v>145226</v>
      </c>
      <c r="N1840" s="223">
        <v>398274</v>
      </c>
      <c r="O1840" s="142" t="s">
        <v>244</v>
      </c>
      <c r="P1840" s="142" t="s">
        <v>245</v>
      </c>
      <c r="Q1840" s="143" t="s">
        <v>565</v>
      </c>
      <c r="R1840" s="142" t="s">
        <v>379</v>
      </c>
      <c r="S1840" s="142" t="s">
        <v>801</v>
      </c>
      <c r="T1840" s="144">
        <v>42169</v>
      </c>
      <c r="U1840" s="172">
        <f t="shared" si="96"/>
        <v>2015</v>
      </c>
      <c r="V1840" s="172">
        <f t="shared" si="97"/>
        <v>6</v>
      </c>
      <c r="W1840" s="97" t="s">
        <v>464</v>
      </c>
      <c r="X1840" t="s">
        <v>892</v>
      </c>
      <c r="Y1840" s="41">
        <v>1</v>
      </c>
      <c r="Z1840" s="13"/>
      <c r="AA1840" s="13">
        <f t="shared" si="95"/>
        <v>145226</v>
      </c>
      <c r="AE1840" s="42"/>
      <c r="AL1840" s="94" t="s">
        <v>819</v>
      </c>
      <c r="AM1840" s="86">
        <v>542935</v>
      </c>
    </row>
    <row r="1841" spans="13:39" hidden="1">
      <c r="M1841" s="141">
        <v>145601</v>
      </c>
      <c r="N1841" s="223">
        <v>321858</v>
      </c>
      <c r="O1841" s="142" t="s">
        <v>244</v>
      </c>
      <c r="P1841" s="142" t="s">
        <v>245</v>
      </c>
      <c r="Q1841" s="145">
        <v>19</v>
      </c>
      <c r="R1841" s="142" t="s">
        <v>379</v>
      </c>
      <c r="S1841" s="142" t="s">
        <v>801</v>
      </c>
      <c r="T1841" s="144">
        <v>41987</v>
      </c>
      <c r="U1841" s="172">
        <f t="shared" si="96"/>
        <v>2014</v>
      </c>
      <c r="V1841" s="172">
        <f t="shared" si="97"/>
        <v>12</v>
      </c>
      <c r="W1841" s="97" t="s">
        <v>586</v>
      </c>
      <c r="X1841" t="s">
        <v>892</v>
      </c>
      <c r="Y1841" s="41">
        <v>1</v>
      </c>
      <c r="Z1841" s="13"/>
      <c r="AA1841" s="13">
        <f t="shared" si="95"/>
        <v>145601</v>
      </c>
      <c r="AE1841" s="42"/>
      <c r="AL1841" s="94" t="s">
        <v>819</v>
      </c>
      <c r="AM1841" s="86">
        <v>542935</v>
      </c>
    </row>
    <row r="1842" spans="13:39" hidden="1">
      <c r="M1842" s="141">
        <v>146000</v>
      </c>
      <c r="N1842" s="223">
        <v>321858</v>
      </c>
      <c r="O1842" s="142" t="s">
        <v>244</v>
      </c>
      <c r="P1842" s="142" t="s">
        <v>245</v>
      </c>
      <c r="Q1842" s="145">
        <v>36</v>
      </c>
      <c r="R1842" s="142" t="s">
        <v>379</v>
      </c>
      <c r="S1842" s="142" t="s">
        <v>801</v>
      </c>
      <c r="T1842" s="144">
        <v>41987</v>
      </c>
      <c r="U1842" s="172">
        <f t="shared" si="96"/>
        <v>2014</v>
      </c>
      <c r="V1842" s="172">
        <f t="shared" si="97"/>
        <v>12</v>
      </c>
      <c r="W1842" s="97" t="s">
        <v>586</v>
      </c>
      <c r="X1842" t="s">
        <v>892</v>
      </c>
      <c r="Y1842" s="41">
        <v>1</v>
      </c>
      <c r="Z1842" s="13"/>
      <c r="AA1842" s="13">
        <f t="shared" si="95"/>
        <v>146000</v>
      </c>
      <c r="AE1842" s="42"/>
      <c r="AL1842" s="94" t="s">
        <v>819</v>
      </c>
      <c r="AM1842" s="86">
        <v>542935</v>
      </c>
    </row>
    <row r="1843" spans="13:39" hidden="1">
      <c r="M1843" s="141">
        <v>146059</v>
      </c>
      <c r="N1843" s="223">
        <v>570401</v>
      </c>
      <c r="O1843" s="142" t="s">
        <v>244</v>
      </c>
      <c r="P1843" s="142" t="s">
        <v>245</v>
      </c>
      <c r="Q1843" s="143" t="s">
        <v>481</v>
      </c>
      <c r="R1843" s="142" t="s">
        <v>379</v>
      </c>
      <c r="S1843" s="142" t="s">
        <v>801</v>
      </c>
      <c r="T1843" s="144">
        <v>42169</v>
      </c>
      <c r="U1843" s="172">
        <f t="shared" si="96"/>
        <v>2015</v>
      </c>
      <c r="V1843" s="172">
        <f t="shared" si="97"/>
        <v>6</v>
      </c>
      <c r="W1843" s="97" t="s">
        <v>464</v>
      </c>
      <c r="X1843" t="s">
        <v>892</v>
      </c>
      <c r="Y1843" s="41">
        <v>1</v>
      </c>
      <c r="Z1843" s="13"/>
      <c r="AA1843" s="13">
        <f t="shared" si="95"/>
        <v>146059</v>
      </c>
      <c r="AE1843" s="42"/>
      <c r="AL1843" s="94" t="s">
        <v>819</v>
      </c>
      <c r="AM1843" s="86">
        <v>542935</v>
      </c>
    </row>
    <row r="1844" spans="13:39" hidden="1">
      <c r="M1844" s="141">
        <v>148306</v>
      </c>
      <c r="N1844" s="222">
        <v>375079</v>
      </c>
      <c r="O1844" s="142" t="s">
        <v>244</v>
      </c>
      <c r="P1844" s="142" t="s">
        <v>245</v>
      </c>
      <c r="Q1844" s="143" t="s">
        <v>560</v>
      </c>
      <c r="R1844" s="142" t="s">
        <v>379</v>
      </c>
      <c r="S1844" s="142" t="s">
        <v>801</v>
      </c>
      <c r="T1844" s="144">
        <v>42169</v>
      </c>
      <c r="U1844" s="172">
        <f t="shared" si="96"/>
        <v>2015</v>
      </c>
      <c r="V1844" s="172">
        <f t="shared" si="97"/>
        <v>6</v>
      </c>
      <c r="W1844" s="97" t="s">
        <v>464</v>
      </c>
      <c r="X1844" t="s">
        <v>892</v>
      </c>
      <c r="Y1844" s="41">
        <v>1</v>
      </c>
      <c r="Z1844" s="13"/>
      <c r="AA1844" s="13">
        <f t="shared" si="95"/>
        <v>148306</v>
      </c>
      <c r="AE1844" s="42"/>
      <c r="AL1844" s="94" t="s">
        <v>819</v>
      </c>
      <c r="AM1844" s="86">
        <v>542935</v>
      </c>
    </row>
    <row r="1845" spans="13:39" hidden="1">
      <c r="M1845" s="141">
        <v>148510</v>
      </c>
      <c r="N1845" s="223">
        <v>417342</v>
      </c>
      <c r="O1845" s="142" t="s">
        <v>244</v>
      </c>
      <c r="P1845" s="142" t="s">
        <v>245</v>
      </c>
      <c r="Q1845" s="143" t="s">
        <v>410</v>
      </c>
      <c r="R1845" s="142" t="s">
        <v>379</v>
      </c>
      <c r="S1845" s="142" t="s">
        <v>801</v>
      </c>
      <c r="T1845" s="144">
        <v>42722</v>
      </c>
      <c r="U1845" s="172">
        <f t="shared" si="96"/>
        <v>2016</v>
      </c>
      <c r="V1845" s="172">
        <f t="shared" si="97"/>
        <v>12</v>
      </c>
      <c r="W1845" s="97" t="s">
        <v>386</v>
      </c>
      <c r="X1845" t="s">
        <v>892</v>
      </c>
      <c r="Y1845">
        <v>1</v>
      </c>
      <c r="Z1845" s="13"/>
      <c r="AA1845" s="13">
        <f t="shared" si="95"/>
        <v>148510</v>
      </c>
      <c r="AE1845" s="42"/>
      <c r="AL1845" s="94" t="s">
        <v>819</v>
      </c>
      <c r="AM1845" s="86">
        <v>542935</v>
      </c>
    </row>
    <row r="1846" spans="13:39" hidden="1">
      <c r="M1846" s="141">
        <v>148526</v>
      </c>
      <c r="N1846" s="223">
        <v>392170</v>
      </c>
      <c r="O1846" s="142" t="s">
        <v>244</v>
      </c>
      <c r="P1846" s="142" t="s">
        <v>245</v>
      </c>
      <c r="Q1846" s="143" t="s">
        <v>573</v>
      </c>
      <c r="R1846" s="142" t="s">
        <v>379</v>
      </c>
      <c r="S1846" s="142" t="s">
        <v>801</v>
      </c>
      <c r="T1846" s="144">
        <v>42169</v>
      </c>
      <c r="U1846" s="172">
        <f t="shared" si="96"/>
        <v>2015</v>
      </c>
      <c r="V1846" s="172">
        <f t="shared" si="97"/>
        <v>6</v>
      </c>
      <c r="W1846" s="97" t="s">
        <v>464</v>
      </c>
      <c r="X1846" t="s">
        <v>892</v>
      </c>
      <c r="Y1846" s="41">
        <v>1</v>
      </c>
      <c r="Z1846" s="13"/>
      <c r="AA1846" s="13">
        <f t="shared" si="95"/>
        <v>148526</v>
      </c>
      <c r="AE1846" s="42"/>
      <c r="AL1846" s="94" t="s">
        <v>819</v>
      </c>
      <c r="AM1846" s="86">
        <v>542935</v>
      </c>
    </row>
    <row r="1847" spans="13:39" hidden="1">
      <c r="M1847" s="141">
        <v>149000</v>
      </c>
      <c r="N1847" s="223">
        <v>538724</v>
      </c>
      <c r="O1847" s="142" t="s">
        <v>244</v>
      </c>
      <c r="P1847" s="142" t="s">
        <v>245</v>
      </c>
      <c r="Q1847" s="145">
        <v>528</v>
      </c>
      <c r="R1847" s="142" t="s">
        <v>379</v>
      </c>
      <c r="S1847" s="142" t="s">
        <v>801</v>
      </c>
      <c r="T1847" s="144">
        <v>42722</v>
      </c>
      <c r="U1847" s="172">
        <f t="shared" si="96"/>
        <v>2016</v>
      </c>
      <c r="V1847" s="172">
        <f t="shared" si="97"/>
        <v>12</v>
      </c>
      <c r="W1847" s="97" t="s">
        <v>386</v>
      </c>
      <c r="X1847" t="s">
        <v>892</v>
      </c>
      <c r="Y1847">
        <v>1</v>
      </c>
      <c r="Z1847" s="13"/>
      <c r="AA1847" s="13">
        <f t="shared" si="95"/>
        <v>149000</v>
      </c>
      <c r="AE1847" s="42"/>
      <c r="AL1847" s="94" t="s">
        <v>819</v>
      </c>
      <c r="AM1847" s="86">
        <v>542935</v>
      </c>
    </row>
    <row r="1848" spans="13:39" hidden="1">
      <c r="M1848" s="141">
        <v>149008</v>
      </c>
      <c r="N1848" s="223">
        <v>388507</v>
      </c>
      <c r="O1848" s="142" t="s">
        <v>244</v>
      </c>
      <c r="P1848" s="142" t="s">
        <v>245</v>
      </c>
      <c r="Q1848" s="143" t="s">
        <v>563</v>
      </c>
      <c r="R1848" s="142" t="s">
        <v>379</v>
      </c>
      <c r="S1848" s="142" t="s">
        <v>801</v>
      </c>
      <c r="T1848" s="144">
        <v>42169</v>
      </c>
      <c r="U1848" s="172">
        <f t="shared" si="96"/>
        <v>2015</v>
      </c>
      <c r="V1848" s="172">
        <f t="shared" si="97"/>
        <v>6</v>
      </c>
      <c r="W1848" s="97" t="s">
        <v>464</v>
      </c>
      <c r="X1848" t="s">
        <v>892</v>
      </c>
      <c r="Y1848" s="41">
        <v>1</v>
      </c>
      <c r="Z1848" s="13"/>
      <c r="AA1848" s="13">
        <f t="shared" si="95"/>
        <v>149008</v>
      </c>
      <c r="AE1848" s="42"/>
      <c r="AL1848" s="94" t="s">
        <v>819</v>
      </c>
      <c r="AM1848" s="86">
        <v>542935</v>
      </c>
    </row>
    <row r="1849" spans="13:39" hidden="1">
      <c r="M1849" s="141">
        <v>149999</v>
      </c>
      <c r="N1849" s="223">
        <v>417342</v>
      </c>
      <c r="O1849" s="142" t="s">
        <v>244</v>
      </c>
      <c r="P1849" s="142" t="s">
        <v>245</v>
      </c>
      <c r="Q1849" s="143" t="s">
        <v>412</v>
      </c>
      <c r="R1849" s="142" t="s">
        <v>379</v>
      </c>
      <c r="S1849" s="142" t="s">
        <v>801</v>
      </c>
      <c r="T1849" s="144">
        <v>42722</v>
      </c>
      <c r="U1849" s="172">
        <f t="shared" si="96"/>
        <v>2016</v>
      </c>
      <c r="V1849" s="172">
        <f t="shared" si="97"/>
        <v>12</v>
      </c>
      <c r="W1849" s="97" t="s">
        <v>386</v>
      </c>
      <c r="X1849" t="s">
        <v>892</v>
      </c>
      <c r="Y1849">
        <v>1</v>
      </c>
      <c r="Z1849" s="13"/>
      <c r="AA1849" s="13">
        <f t="shared" si="95"/>
        <v>149999</v>
      </c>
      <c r="AE1849" s="42"/>
      <c r="AL1849" s="94" t="s">
        <v>819</v>
      </c>
      <c r="AM1849" s="86">
        <v>542935</v>
      </c>
    </row>
    <row r="1850" spans="13:39" hidden="1">
      <c r="M1850" s="141">
        <v>150000</v>
      </c>
      <c r="N1850" s="223">
        <v>321858</v>
      </c>
      <c r="O1850" s="142" t="s">
        <v>244</v>
      </c>
      <c r="P1850" s="142" t="s">
        <v>245</v>
      </c>
      <c r="Q1850" s="143" t="s">
        <v>605</v>
      </c>
      <c r="R1850" s="142" t="s">
        <v>379</v>
      </c>
      <c r="S1850" s="142" t="s">
        <v>801</v>
      </c>
      <c r="T1850" s="144">
        <v>41987</v>
      </c>
      <c r="U1850" s="172">
        <f t="shared" si="96"/>
        <v>2014</v>
      </c>
      <c r="V1850" s="172">
        <f t="shared" si="97"/>
        <v>12</v>
      </c>
      <c r="W1850" s="97" t="s">
        <v>586</v>
      </c>
      <c r="X1850" t="s">
        <v>892</v>
      </c>
      <c r="Y1850" s="41">
        <v>1</v>
      </c>
      <c r="Z1850" s="13"/>
      <c r="AA1850" s="13">
        <f t="shared" si="95"/>
        <v>150000</v>
      </c>
      <c r="AE1850" s="42"/>
      <c r="AL1850" s="94" t="s">
        <v>819</v>
      </c>
      <c r="AM1850" s="86">
        <v>542935</v>
      </c>
    </row>
    <row r="1851" spans="13:39" hidden="1">
      <c r="M1851" s="141">
        <v>150000</v>
      </c>
      <c r="N1851" s="223">
        <v>456870</v>
      </c>
      <c r="O1851" s="142" t="s">
        <v>244</v>
      </c>
      <c r="P1851" s="142" t="s">
        <v>245</v>
      </c>
      <c r="Q1851" s="143" t="s">
        <v>508</v>
      </c>
      <c r="R1851" s="142" t="s">
        <v>379</v>
      </c>
      <c r="S1851" s="142" t="s">
        <v>801</v>
      </c>
      <c r="T1851" s="144">
        <v>42169</v>
      </c>
      <c r="U1851" s="172">
        <f t="shared" si="96"/>
        <v>2015</v>
      </c>
      <c r="V1851" s="172">
        <f t="shared" si="97"/>
        <v>6</v>
      </c>
      <c r="W1851" s="97" t="s">
        <v>464</v>
      </c>
      <c r="X1851" t="s">
        <v>892</v>
      </c>
      <c r="Y1851" s="41">
        <v>1</v>
      </c>
      <c r="Z1851" s="13"/>
      <c r="AA1851" s="13">
        <f t="shared" si="95"/>
        <v>150000</v>
      </c>
      <c r="AE1851" s="42"/>
      <c r="AL1851" s="94" t="s">
        <v>819</v>
      </c>
      <c r="AM1851" s="86">
        <v>542935</v>
      </c>
    </row>
    <row r="1852" spans="13:39" hidden="1">
      <c r="M1852" s="141">
        <v>150001</v>
      </c>
      <c r="N1852" s="223">
        <v>443442</v>
      </c>
      <c r="O1852" s="142" t="s">
        <v>244</v>
      </c>
      <c r="P1852" s="142" t="s">
        <v>245</v>
      </c>
      <c r="Q1852" s="143" t="s">
        <v>474</v>
      </c>
      <c r="R1852" s="142" t="s">
        <v>379</v>
      </c>
      <c r="S1852" s="142" t="s">
        <v>801</v>
      </c>
      <c r="T1852" s="144">
        <v>42169</v>
      </c>
      <c r="U1852" s="172">
        <f t="shared" si="96"/>
        <v>2015</v>
      </c>
      <c r="V1852" s="172">
        <f t="shared" si="97"/>
        <v>6</v>
      </c>
      <c r="W1852" s="97" t="s">
        <v>464</v>
      </c>
      <c r="X1852" t="s">
        <v>892</v>
      </c>
      <c r="Y1852" s="41">
        <v>1</v>
      </c>
      <c r="Z1852" s="13"/>
      <c r="AA1852" s="13">
        <f t="shared" si="95"/>
        <v>150001</v>
      </c>
      <c r="AE1852" s="42"/>
      <c r="AL1852" s="94" t="s">
        <v>819</v>
      </c>
      <c r="AM1852" s="86">
        <v>542935</v>
      </c>
    </row>
    <row r="1853" spans="13:39" hidden="1">
      <c r="M1853" s="141">
        <v>150400</v>
      </c>
      <c r="N1853" s="223">
        <v>417342</v>
      </c>
      <c r="O1853" s="142" t="s">
        <v>244</v>
      </c>
      <c r="P1853" s="142" t="s">
        <v>245</v>
      </c>
      <c r="Q1853" s="143" t="s">
        <v>406</v>
      </c>
      <c r="R1853" s="142" t="s">
        <v>379</v>
      </c>
      <c r="S1853" s="142" t="s">
        <v>801</v>
      </c>
      <c r="T1853" s="144">
        <v>42722</v>
      </c>
      <c r="U1853" s="172">
        <f t="shared" si="96"/>
        <v>2016</v>
      </c>
      <c r="V1853" s="172">
        <f t="shared" si="97"/>
        <v>12</v>
      </c>
      <c r="W1853" s="97" t="s">
        <v>386</v>
      </c>
      <c r="X1853" t="s">
        <v>892</v>
      </c>
      <c r="Y1853">
        <v>1</v>
      </c>
      <c r="Z1853" s="13"/>
      <c r="AA1853" s="13">
        <f t="shared" si="95"/>
        <v>150400</v>
      </c>
      <c r="AE1853" s="42"/>
      <c r="AL1853" s="94" t="s">
        <v>819</v>
      </c>
      <c r="AM1853" s="86">
        <v>542935</v>
      </c>
    </row>
    <row r="1854" spans="13:39" hidden="1">
      <c r="M1854" s="141">
        <v>150556</v>
      </c>
      <c r="N1854" s="223">
        <v>425130</v>
      </c>
      <c r="O1854" s="142" t="s">
        <v>244</v>
      </c>
      <c r="P1854" s="142" t="s">
        <v>245</v>
      </c>
      <c r="Q1854" s="143" t="s">
        <v>549</v>
      </c>
      <c r="R1854" s="142" t="s">
        <v>379</v>
      </c>
      <c r="S1854" s="142" t="s">
        <v>801</v>
      </c>
      <c r="T1854" s="144">
        <v>42169</v>
      </c>
      <c r="U1854" s="172">
        <f t="shared" si="96"/>
        <v>2015</v>
      </c>
      <c r="V1854" s="172">
        <f t="shared" si="97"/>
        <v>6</v>
      </c>
      <c r="W1854" s="97" t="s">
        <v>464</v>
      </c>
      <c r="X1854" t="s">
        <v>892</v>
      </c>
      <c r="Y1854" s="41">
        <v>1</v>
      </c>
      <c r="Z1854" s="13"/>
      <c r="AA1854" s="13">
        <f t="shared" si="95"/>
        <v>150556</v>
      </c>
      <c r="AE1854" s="42"/>
      <c r="AL1854" s="94" t="s">
        <v>819</v>
      </c>
      <c r="AM1854" s="86">
        <v>542935</v>
      </c>
    </row>
    <row r="1855" spans="13:39" hidden="1">
      <c r="M1855" s="141">
        <v>150556</v>
      </c>
      <c r="N1855" s="223">
        <v>441000</v>
      </c>
      <c r="O1855" s="142" t="s">
        <v>244</v>
      </c>
      <c r="P1855" s="142" t="s">
        <v>245</v>
      </c>
      <c r="Q1855" s="143" t="s">
        <v>548</v>
      </c>
      <c r="R1855" s="142" t="s">
        <v>379</v>
      </c>
      <c r="S1855" s="142" t="s">
        <v>801</v>
      </c>
      <c r="T1855" s="144">
        <v>42169</v>
      </c>
      <c r="U1855" s="172">
        <f t="shared" si="96"/>
        <v>2015</v>
      </c>
      <c r="V1855" s="172">
        <f t="shared" si="97"/>
        <v>6</v>
      </c>
      <c r="W1855" s="97" t="s">
        <v>464</v>
      </c>
      <c r="X1855" t="s">
        <v>892</v>
      </c>
      <c r="Y1855" s="41">
        <v>1</v>
      </c>
      <c r="Z1855" s="13"/>
      <c r="AA1855" s="13">
        <f t="shared" si="95"/>
        <v>150556</v>
      </c>
      <c r="AE1855" s="42"/>
      <c r="AL1855" s="94" t="s">
        <v>819</v>
      </c>
      <c r="AM1855" s="86">
        <v>542935</v>
      </c>
    </row>
    <row r="1856" spans="13:39" hidden="1">
      <c r="M1856" s="141">
        <v>151000</v>
      </c>
      <c r="N1856" s="223">
        <v>411711</v>
      </c>
      <c r="O1856" s="142" t="s">
        <v>244</v>
      </c>
      <c r="P1856" s="142" t="s">
        <v>245</v>
      </c>
      <c r="Q1856" s="143" t="s">
        <v>420</v>
      </c>
      <c r="R1856" s="142" t="s">
        <v>379</v>
      </c>
      <c r="S1856" s="142" t="s">
        <v>801</v>
      </c>
      <c r="T1856" s="144">
        <v>42722</v>
      </c>
      <c r="U1856" s="172">
        <f t="shared" si="96"/>
        <v>2016</v>
      </c>
      <c r="V1856" s="172">
        <f t="shared" si="97"/>
        <v>12</v>
      </c>
      <c r="W1856" s="97" t="s">
        <v>386</v>
      </c>
      <c r="X1856" t="s">
        <v>892</v>
      </c>
      <c r="Y1856">
        <v>1</v>
      </c>
      <c r="Z1856" s="13"/>
      <c r="AA1856" s="13">
        <f t="shared" si="95"/>
        <v>151000</v>
      </c>
      <c r="AE1856" s="42"/>
      <c r="AL1856" s="94" t="s">
        <v>819</v>
      </c>
      <c r="AM1856" s="86">
        <v>542935</v>
      </c>
    </row>
    <row r="1857" spans="13:39" hidden="1">
      <c r="M1857" s="141">
        <v>151000</v>
      </c>
      <c r="N1857" s="223">
        <v>420247</v>
      </c>
      <c r="O1857" s="142" t="s">
        <v>244</v>
      </c>
      <c r="P1857" s="142" t="s">
        <v>245</v>
      </c>
      <c r="Q1857" s="143" t="s">
        <v>507</v>
      </c>
      <c r="R1857" s="142" t="s">
        <v>379</v>
      </c>
      <c r="S1857" s="142" t="s">
        <v>801</v>
      </c>
      <c r="T1857" s="144">
        <v>42169</v>
      </c>
      <c r="U1857" s="172">
        <f t="shared" si="96"/>
        <v>2015</v>
      </c>
      <c r="V1857" s="172">
        <f t="shared" si="97"/>
        <v>6</v>
      </c>
      <c r="W1857" s="97" t="s">
        <v>464</v>
      </c>
      <c r="X1857" t="s">
        <v>892</v>
      </c>
      <c r="Y1857" s="41">
        <v>1</v>
      </c>
      <c r="Z1857" s="13"/>
      <c r="AA1857" s="13">
        <f t="shared" si="95"/>
        <v>151000</v>
      </c>
      <c r="AE1857" s="42"/>
      <c r="AL1857" s="94" t="s">
        <v>819</v>
      </c>
      <c r="AM1857" s="86">
        <v>542935</v>
      </c>
    </row>
    <row r="1858" spans="13:39" hidden="1">
      <c r="M1858" s="141">
        <v>151896</v>
      </c>
      <c r="N1858" s="223">
        <v>482506</v>
      </c>
      <c r="O1858" s="142" t="s">
        <v>244</v>
      </c>
      <c r="P1858" s="142" t="s">
        <v>245</v>
      </c>
      <c r="Q1858" s="143" t="s">
        <v>488</v>
      </c>
      <c r="R1858" s="142" t="s">
        <v>379</v>
      </c>
      <c r="S1858" s="142" t="s">
        <v>801</v>
      </c>
      <c r="T1858" s="144">
        <v>42169</v>
      </c>
      <c r="U1858" s="172">
        <f t="shared" si="96"/>
        <v>2015</v>
      </c>
      <c r="V1858" s="172">
        <f t="shared" si="97"/>
        <v>6</v>
      </c>
      <c r="W1858" s="97" t="s">
        <v>464</v>
      </c>
      <c r="X1858" t="s">
        <v>892</v>
      </c>
      <c r="Y1858" s="41">
        <v>1</v>
      </c>
      <c r="Z1858" s="13"/>
      <c r="AA1858" s="13">
        <f t="shared" si="95"/>
        <v>151896</v>
      </c>
      <c r="AE1858" s="42"/>
      <c r="AL1858" s="94" t="s">
        <v>819</v>
      </c>
      <c r="AM1858" s="86">
        <v>543504</v>
      </c>
    </row>
    <row r="1859" spans="13:39" hidden="1">
      <c r="M1859" s="141">
        <v>152100</v>
      </c>
      <c r="N1859" s="223">
        <v>417342</v>
      </c>
      <c r="O1859" s="142" t="s">
        <v>244</v>
      </c>
      <c r="P1859" s="142" t="s">
        <v>245</v>
      </c>
      <c r="Q1859" s="143" t="s">
        <v>407</v>
      </c>
      <c r="R1859" s="142" t="s">
        <v>379</v>
      </c>
      <c r="S1859" s="142" t="s">
        <v>801</v>
      </c>
      <c r="T1859" s="144">
        <v>42722</v>
      </c>
      <c r="U1859" s="172">
        <f t="shared" si="96"/>
        <v>2016</v>
      </c>
      <c r="V1859" s="172">
        <f t="shared" si="97"/>
        <v>12</v>
      </c>
      <c r="W1859" s="97" t="s">
        <v>386</v>
      </c>
      <c r="X1859" t="s">
        <v>892</v>
      </c>
      <c r="Y1859">
        <v>1</v>
      </c>
      <c r="Z1859" s="13"/>
      <c r="AA1859" s="13">
        <f t="shared" si="95"/>
        <v>152100</v>
      </c>
      <c r="AE1859" s="42"/>
      <c r="AL1859" s="94" t="s">
        <v>819</v>
      </c>
      <c r="AM1859" s="86">
        <v>543504</v>
      </c>
    </row>
    <row r="1860" spans="13:39" hidden="1">
      <c r="M1860" s="141">
        <v>152520</v>
      </c>
      <c r="N1860" s="223">
        <v>407942</v>
      </c>
      <c r="O1860" s="142" t="s">
        <v>244</v>
      </c>
      <c r="P1860" s="142" t="s">
        <v>245</v>
      </c>
      <c r="Q1860" s="143" t="s">
        <v>413</v>
      </c>
      <c r="R1860" s="142" t="s">
        <v>379</v>
      </c>
      <c r="S1860" s="142" t="s">
        <v>801</v>
      </c>
      <c r="T1860" s="144">
        <v>42722</v>
      </c>
      <c r="U1860" s="172">
        <f t="shared" si="96"/>
        <v>2016</v>
      </c>
      <c r="V1860" s="172">
        <f t="shared" si="97"/>
        <v>12</v>
      </c>
      <c r="W1860" s="97" t="s">
        <v>386</v>
      </c>
      <c r="X1860" t="s">
        <v>892</v>
      </c>
      <c r="Y1860">
        <v>1</v>
      </c>
      <c r="Z1860" s="13"/>
      <c r="AA1860" s="13">
        <f t="shared" ref="AA1860:AA1923" si="98">IF(M1860&lt;30000,Y1860*100*M1860*(1-$L$1)-$L$2*Y1860,M1860)</f>
        <v>152520</v>
      </c>
      <c r="AE1860" s="42"/>
      <c r="AL1860" s="94" t="s">
        <v>819</v>
      </c>
      <c r="AM1860" s="86">
        <v>543504</v>
      </c>
    </row>
    <row r="1861" spans="13:39" hidden="1">
      <c r="M1861" s="141">
        <v>152666</v>
      </c>
      <c r="N1861" s="223">
        <v>321858</v>
      </c>
      <c r="O1861" s="142" t="s">
        <v>244</v>
      </c>
      <c r="P1861" s="142" t="s">
        <v>245</v>
      </c>
      <c r="Q1861" s="145">
        <v>18</v>
      </c>
      <c r="R1861" s="142" t="s">
        <v>379</v>
      </c>
      <c r="S1861" s="142" t="s">
        <v>801</v>
      </c>
      <c r="T1861" s="144">
        <v>41987</v>
      </c>
      <c r="U1861" s="172">
        <f t="shared" si="96"/>
        <v>2014</v>
      </c>
      <c r="V1861" s="172">
        <f t="shared" si="97"/>
        <v>12</v>
      </c>
      <c r="W1861" s="97" t="s">
        <v>586</v>
      </c>
      <c r="X1861" t="s">
        <v>892</v>
      </c>
      <c r="Y1861" s="41">
        <v>1</v>
      </c>
      <c r="Z1861" s="13"/>
      <c r="AA1861" s="13">
        <f t="shared" si="98"/>
        <v>152666</v>
      </c>
      <c r="AE1861" s="42"/>
      <c r="AL1861" s="94" t="s">
        <v>819</v>
      </c>
      <c r="AM1861" s="86">
        <v>543504</v>
      </c>
    </row>
    <row r="1862" spans="13:39" hidden="1">
      <c r="M1862" s="141">
        <v>153400</v>
      </c>
      <c r="N1862" s="223">
        <v>400715</v>
      </c>
      <c r="O1862" s="142" t="s">
        <v>244</v>
      </c>
      <c r="P1862" s="142" t="s">
        <v>245</v>
      </c>
      <c r="Q1862" s="143" t="s">
        <v>579</v>
      </c>
      <c r="R1862" s="142" t="s">
        <v>379</v>
      </c>
      <c r="S1862" s="142" t="s">
        <v>801</v>
      </c>
      <c r="T1862" s="144">
        <v>42169</v>
      </c>
      <c r="U1862" s="172">
        <f t="shared" si="96"/>
        <v>2015</v>
      </c>
      <c r="V1862" s="172">
        <f t="shared" si="97"/>
        <v>6</v>
      </c>
      <c r="W1862" s="97" t="s">
        <v>464</v>
      </c>
      <c r="X1862" t="s">
        <v>892</v>
      </c>
      <c r="Y1862" s="41">
        <v>1</v>
      </c>
      <c r="Z1862" s="13"/>
      <c r="AA1862" s="13">
        <f t="shared" si="98"/>
        <v>153400</v>
      </c>
      <c r="AE1862" s="42"/>
      <c r="AL1862" s="94" t="s">
        <v>819</v>
      </c>
      <c r="AM1862" s="86">
        <v>543504</v>
      </c>
    </row>
    <row r="1863" spans="13:39" hidden="1">
      <c r="M1863" s="141">
        <v>153720</v>
      </c>
      <c r="N1863" s="223">
        <v>389728</v>
      </c>
      <c r="O1863" s="142" t="s">
        <v>244</v>
      </c>
      <c r="P1863" s="142" t="s">
        <v>245</v>
      </c>
      <c r="Q1863" s="143" t="s">
        <v>520</v>
      </c>
      <c r="R1863" s="142" t="s">
        <v>379</v>
      </c>
      <c r="S1863" s="142" t="s">
        <v>801</v>
      </c>
      <c r="T1863" s="144">
        <v>42169</v>
      </c>
      <c r="U1863" s="172">
        <f t="shared" ref="U1863:U1926" si="99">YEAR($T1863)</f>
        <v>2015</v>
      </c>
      <c r="V1863" s="172">
        <f t="shared" ref="V1863:V1926" si="100">MONTH($T1863)</f>
        <v>6</v>
      </c>
      <c r="W1863" s="97" t="s">
        <v>464</v>
      </c>
      <c r="X1863" t="s">
        <v>892</v>
      </c>
      <c r="Y1863" s="41">
        <v>1</v>
      </c>
      <c r="Z1863" s="13"/>
      <c r="AA1863" s="13">
        <f t="shared" si="98"/>
        <v>153720</v>
      </c>
      <c r="AE1863" s="42"/>
      <c r="AL1863" s="94" t="s">
        <v>819</v>
      </c>
      <c r="AM1863" s="86">
        <v>543504</v>
      </c>
    </row>
    <row r="1864" spans="13:39" hidden="1">
      <c r="M1864" s="141">
        <v>155000</v>
      </c>
      <c r="N1864" s="223">
        <v>450200</v>
      </c>
      <c r="O1864" s="142" t="s">
        <v>244</v>
      </c>
      <c r="P1864" s="142" t="s">
        <v>245</v>
      </c>
      <c r="Q1864" s="145">
        <v>155</v>
      </c>
      <c r="R1864" s="142" t="s">
        <v>379</v>
      </c>
      <c r="S1864" s="142" t="s">
        <v>801</v>
      </c>
      <c r="T1864" s="144">
        <v>41763</v>
      </c>
      <c r="U1864" s="172">
        <f t="shared" si="99"/>
        <v>2014</v>
      </c>
      <c r="V1864" s="172">
        <f t="shared" si="100"/>
        <v>5</v>
      </c>
      <c r="W1864" s="97" t="s">
        <v>613</v>
      </c>
      <c r="X1864" t="s">
        <v>892</v>
      </c>
      <c r="Y1864" s="41">
        <v>1</v>
      </c>
      <c r="Z1864" s="13"/>
      <c r="AA1864" s="13">
        <f t="shared" si="98"/>
        <v>155000</v>
      </c>
      <c r="AE1864" s="42"/>
      <c r="AL1864" s="94" t="s">
        <v>819</v>
      </c>
      <c r="AM1864" s="86">
        <v>543504</v>
      </c>
    </row>
    <row r="1865" spans="13:39" hidden="1">
      <c r="M1865" s="141">
        <v>155559</v>
      </c>
      <c r="N1865" s="223">
        <v>421468</v>
      </c>
      <c r="O1865" s="142" t="s">
        <v>244</v>
      </c>
      <c r="P1865" s="142" t="s">
        <v>245</v>
      </c>
      <c r="Q1865" s="143" t="s">
        <v>480</v>
      </c>
      <c r="R1865" s="142" t="s">
        <v>379</v>
      </c>
      <c r="S1865" s="142" t="s">
        <v>801</v>
      </c>
      <c r="T1865" s="144">
        <v>42169</v>
      </c>
      <c r="U1865" s="172">
        <f t="shared" si="99"/>
        <v>2015</v>
      </c>
      <c r="V1865" s="172">
        <f t="shared" si="100"/>
        <v>6</v>
      </c>
      <c r="W1865" s="97" t="s">
        <v>464</v>
      </c>
      <c r="X1865" t="s">
        <v>892</v>
      </c>
      <c r="Y1865" s="41">
        <v>1</v>
      </c>
      <c r="Z1865" s="13"/>
      <c r="AA1865" s="13">
        <f t="shared" si="98"/>
        <v>155559</v>
      </c>
      <c r="AE1865" s="42"/>
      <c r="AL1865" s="94" t="s">
        <v>819</v>
      </c>
      <c r="AM1865" s="86">
        <v>543504</v>
      </c>
    </row>
    <row r="1866" spans="13:39" hidden="1">
      <c r="M1866" s="141">
        <v>155600</v>
      </c>
      <c r="N1866" s="223">
        <v>445411</v>
      </c>
      <c r="O1866" s="142" t="s">
        <v>244</v>
      </c>
      <c r="P1866" s="142" t="s">
        <v>245</v>
      </c>
      <c r="Q1866" s="145">
        <v>123</v>
      </c>
      <c r="R1866" s="142" t="s">
        <v>379</v>
      </c>
      <c r="S1866" s="142" t="s">
        <v>801</v>
      </c>
      <c r="T1866" s="144">
        <v>42169</v>
      </c>
      <c r="U1866" s="172">
        <f t="shared" si="99"/>
        <v>2015</v>
      </c>
      <c r="V1866" s="172">
        <f t="shared" si="100"/>
        <v>6</v>
      </c>
      <c r="W1866" s="97" t="s">
        <v>464</v>
      </c>
      <c r="X1866" t="s">
        <v>892</v>
      </c>
      <c r="Y1866" s="41">
        <v>1</v>
      </c>
      <c r="Z1866" s="13"/>
      <c r="AA1866" s="13">
        <f t="shared" si="98"/>
        <v>155600</v>
      </c>
      <c r="AE1866" s="42"/>
      <c r="AL1866" s="94" t="s">
        <v>819</v>
      </c>
      <c r="AM1866" s="86">
        <v>543504</v>
      </c>
    </row>
    <row r="1867" spans="13:39" hidden="1">
      <c r="M1867" s="141">
        <v>156666</v>
      </c>
      <c r="N1867" s="223">
        <v>321858</v>
      </c>
      <c r="O1867" s="142" t="s">
        <v>244</v>
      </c>
      <c r="P1867" s="142" t="s">
        <v>245</v>
      </c>
      <c r="Q1867" s="143" t="s">
        <v>590</v>
      </c>
      <c r="R1867" s="142" t="s">
        <v>379</v>
      </c>
      <c r="S1867" s="142" t="s">
        <v>801</v>
      </c>
      <c r="T1867" s="144">
        <v>41987</v>
      </c>
      <c r="U1867" s="172">
        <f t="shared" si="99"/>
        <v>2014</v>
      </c>
      <c r="V1867" s="172">
        <f t="shared" si="100"/>
        <v>12</v>
      </c>
      <c r="W1867" s="97" t="s">
        <v>586</v>
      </c>
      <c r="X1867" t="s">
        <v>892</v>
      </c>
      <c r="Y1867" s="41">
        <v>1</v>
      </c>
      <c r="Z1867" s="13"/>
      <c r="AA1867" s="13">
        <f t="shared" si="98"/>
        <v>156666</v>
      </c>
      <c r="AE1867" s="42"/>
      <c r="AL1867" s="94" t="s">
        <v>819</v>
      </c>
      <c r="AM1867" s="86">
        <v>543504</v>
      </c>
    </row>
    <row r="1868" spans="13:39" hidden="1">
      <c r="M1868" s="141">
        <v>156705</v>
      </c>
      <c r="N1868" s="223">
        <v>395101</v>
      </c>
      <c r="O1868" s="142" t="s">
        <v>244</v>
      </c>
      <c r="P1868" s="142" t="s">
        <v>245</v>
      </c>
      <c r="Q1868" s="145">
        <v>33</v>
      </c>
      <c r="R1868" s="142" t="s">
        <v>379</v>
      </c>
      <c r="S1868" s="142" t="s">
        <v>801</v>
      </c>
      <c r="T1868" s="144">
        <v>41987</v>
      </c>
      <c r="U1868" s="172">
        <f t="shared" si="99"/>
        <v>2014</v>
      </c>
      <c r="V1868" s="172">
        <f t="shared" si="100"/>
        <v>12</v>
      </c>
      <c r="W1868" s="97" t="s">
        <v>586</v>
      </c>
      <c r="X1868" t="s">
        <v>892</v>
      </c>
      <c r="Y1868" s="41">
        <v>1</v>
      </c>
      <c r="Z1868" s="13"/>
      <c r="AA1868" s="13">
        <f t="shared" si="98"/>
        <v>156705</v>
      </c>
      <c r="AE1868" s="42"/>
      <c r="AL1868" s="94" t="s">
        <v>819</v>
      </c>
      <c r="AM1868" s="86">
        <v>543504</v>
      </c>
    </row>
    <row r="1869" spans="13:39" hidden="1">
      <c r="M1869" s="141">
        <v>157860</v>
      </c>
      <c r="N1869" s="223">
        <v>442958</v>
      </c>
      <c r="O1869" s="142" t="s">
        <v>244</v>
      </c>
      <c r="P1869" s="142" t="s">
        <v>245</v>
      </c>
      <c r="Q1869" s="145">
        <v>129</v>
      </c>
      <c r="R1869" s="142" t="s">
        <v>379</v>
      </c>
      <c r="S1869" s="142" t="s">
        <v>801</v>
      </c>
      <c r="T1869" s="144">
        <v>41763</v>
      </c>
      <c r="U1869" s="172">
        <f t="shared" si="99"/>
        <v>2014</v>
      </c>
      <c r="V1869" s="172">
        <f t="shared" si="100"/>
        <v>5</v>
      </c>
      <c r="W1869" s="97" t="s">
        <v>613</v>
      </c>
      <c r="X1869" t="s">
        <v>892</v>
      </c>
      <c r="Y1869" s="41">
        <v>1</v>
      </c>
      <c r="Z1869" s="13"/>
      <c r="AA1869" s="13">
        <f t="shared" si="98"/>
        <v>157860</v>
      </c>
      <c r="AE1869" s="42"/>
      <c r="AL1869" s="94" t="s">
        <v>819</v>
      </c>
      <c r="AM1869" s="86">
        <v>543504</v>
      </c>
    </row>
    <row r="1870" spans="13:39" hidden="1">
      <c r="M1870" s="141">
        <v>159735</v>
      </c>
      <c r="N1870" s="223">
        <v>321858</v>
      </c>
      <c r="O1870" s="142" t="s">
        <v>244</v>
      </c>
      <c r="P1870" s="142" t="s">
        <v>245</v>
      </c>
      <c r="Q1870" s="143" t="s">
        <v>592</v>
      </c>
      <c r="R1870" s="142" t="s">
        <v>379</v>
      </c>
      <c r="S1870" s="142" t="s">
        <v>801</v>
      </c>
      <c r="T1870" s="144">
        <v>41987</v>
      </c>
      <c r="U1870" s="172">
        <f t="shared" si="99"/>
        <v>2014</v>
      </c>
      <c r="V1870" s="172">
        <f t="shared" si="100"/>
        <v>12</v>
      </c>
      <c r="W1870" s="97" t="s">
        <v>586</v>
      </c>
      <c r="X1870" t="s">
        <v>892</v>
      </c>
      <c r="Y1870" s="41">
        <v>1</v>
      </c>
      <c r="Z1870" s="13"/>
      <c r="AA1870" s="13">
        <f t="shared" si="98"/>
        <v>159735</v>
      </c>
      <c r="AE1870" s="42"/>
      <c r="AL1870" s="94" t="s">
        <v>819</v>
      </c>
      <c r="AM1870" s="86">
        <v>544074</v>
      </c>
    </row>
    <row r="1871" spans="13:39" hidden="1">
      <c r="M1871" s="141">
        <v>160000</v>
      </c>
      <c r="N1871" s="223">
        <v>476397</v>
      </c>
      <c r="O1871" s="142" t="s">
        <v>244</v>
      </c>
      <c r="P1871" s="142" t="s">
        <v>245</v>
      </c>
      <c r="Q1871" s="145">
        <v>194</v>
      </c>
      <c r="R1871" s="142" t="s">
        <v>379</v>
      </c>
      <c r="S1871" s="142" t="s">
        <v>801</v>
      </c>
      <c r="T1871" s="144">
        <v>42169</v>
      </c>
      <c r="U1871" s="172">
        <f t="shared" si="99"/>
        <v>2015</v>
      </c>
      <c r="V1871" s="172">
        <f t="shared" si="100"/>
        <v>6</v>
      </c>
      <c r="W1871" s="97" t="s">
        <v>464</v>
      </c>
      <c r="X1871" t="s">
        <v>892</v>
      </c>
      <c r="Y1871" s="41">
        <v>1</v>
      </c>
      <c r="Z1871" s="13"/>
      <c r="AA1871" s="13">
        <f t="shared" si="98"/>
        <v>160000</v>
      </c>
      <c r="AE1871" s="42"/>
      <c r="AL1871" s="94" t="s">
        <v>819</v>
      </c>
      <c r="AM1871" s="86">
        <v>544074</v>
      </c>
    </row>
    <row r="1872" spans="13:39" hidden="1">
      <c r="M1872" s="141">
        <v>160162</v>
      </c>
      <c r="N1872" s="223">
        <v>314637</v>
      </c>
      <c r="O1872" s="142" t="s">
        <v>244</v>
      </c>
      <c r="P1872" s="142" t="s">
        <v>245</v>
      </c>
      <c r="Q1872" s="143" t="s">
        <v>591</v>
      </c>
      <c r="R1872" s="142" t="s">
        <v>379</v>
      </c>
      <c r="S1872" s="142" t="s">
        <v>801</v>
      </c>
      <c r="T1872" s="144">
        <v>41987</v>
      </c>
      <c r="U1872" s="172">
        <f t="shared" si="99"/>
        <v>2014</v>
      </c>
      <c r="V1872" s="172">
        <f t="shared" si="100"/>
        <v>12</v>
      </c>
      <c r="W1872" s="97" t="s">
        <v>586</v>
      </c>
      <c r="X1872" t="s">
        <v>892</v>
      </c>
      <c r="Y1872" s="41">
        <v>1</v>
      </c>
      <c r="Z1872" s="13"/>
      <c r="AA1872" s="13">
        <f t="shared" si="98"/>
        <v>160162</v>
      </c>
      <c r="AE1872" s="42"/>
      <c r="AL1872" s="94" t="s">
        <v>819</v>
      </c>
      <c r="AM1872" s="86">
        <v>544074</v>
      </c>
    </row>
    <row r="1873" spans="13:39" hidden="1">
      <c r="M1873" s="141">
        <v>161200</v>
      </c>
      <c r="N1873" s="223">
        <v>422530</v>
      </c>
      <c r="O1873" s="142" t="s">
        <v>244</v>
      </c>
      <c r="P1873" s="142" t="s">
        <v>245</v>
      </c>
      <c r="Q1873" s="145">
        <v>51</v>
      </c>
      <c r="R1873" s="142" t="s">
        <v>379</v>
      </c>
      <c r="S1873" s="142" t="s">
        <v>801</v>
      </c>
      <c r="T1873" s="144">
        <v>41763</v>
      </c>
      <c r="U1873" s="172">
        <f t="shared" si="99"/>
        <v>2014</v>
      </c>
      <c r="V1873" s="172">
        <f t="shared" si="100"/>
        <v>5</v>
      </c>
      <c r="W1873" s="97" t="s">
        <v>613</v>
      </c>
      <c r="X1873" t="s">
        <v>892</v>
      </c>
      <c r="Y1873" s="41">
        <v>1</v>
      </c>
      <c r="Z1873" s="13"/>
      <c r="AA1873" s="13">
        <f t="shared" si="98"/>
        <v>161200</v>
      </c>
      <c r="AE1873" s="42"/>
      <c r="AL1873" s="94" t="s">
        <v>819</v>
      </c>
      <c r="AM1873" s="86">
        <v>544074</v>
      </c>
    </row>
    <row r="1874" spans="13:39" hidden="1">
      <c r="M1874" s="141">
        <v>161450</v>
      </c>
      <c r="N1874" s="223">
        <v>432455</v>
      </c>
      <c r="O1874" s="142" t="s">
        <v>244</v>
      </c>
      <c r="P1874" s="142" t="s">
        <v>245</v>
      </c>
      <c r="Q1874" s="143" t="s">
        <v>522</v>
      </c>
      <c r="R1874" s="142" t="s">
        <v>379</v>
      </c>
      <c r="S1874" s="142" t="s">
        <v>801</v>
      </c>
      <c r="T1874" s="144">
        <v>42169</v>
      </c>
      <c r="U1874" s="172">
        <f t="shared" si="99"/>
        <v>2015</v>
      </c>
      <c r="V1874" s="172">
        <f t="shared" si="100"/>
        <v>6</v>
      </c>
      <c r="W1874" s="97" t="s">
        <v>464</v>
      </c>
      <c r="X1874" t="s">
        <v>892</v>
      </c>
      <c r="Y1874" s="41">
        <v>1</v>
      </c>
      <c r="Z1874" s="13"/>
      <c r="AA1874" s="13">
        <f t="shared" si="98"/>
        <v>161450</v>
      </c>
      <c r="AE1874" s="42"/>
      <c r="AL1874" s="94" t="s">
        <v>819</v>
      </c>
      <c r="AM1874" s="86">
        <v>544074</v>
      </c>
    </row>
    <row r="1875" spans="13:39" hidden="1">
      <c r="M1875" s="141">
        <v>161900</v>
      </c>
      <c r="N1875" s="223">
        <v>395832</v>
      </c>
      <c r="O1875" s="142" t="s">
        <v>244</v>
      </c>
      <c r="P1875" s="142" t="s">
        <v>245</v>
      </c>
      <c r="Q1875" s="143" t="s">
        <v>510</v>
      </c>
      <c r="R1875" s="142" t="s">
        <v>379</v>
      </c>
      <c r="S1875" s="142" t="s">
        <v>801</v>
      </c>
      <c r="T1875" s="144">
        <v>42169</v>
      </c>
      <c r="U1875" s="172">
        <f t="shared" si="99"/>
        <v>2015</v>
      </c>
      <c r="V1875" s="172">
        <f t="shared" si="100"/>
        <v>6</v>
      </c>
      <c r="W1875" s="97" t="s">
        <v>464</v>
      </c>
      <c r="X1875" t="s">
        <v>892</v>
      </c>
      <c r="Y1875" s="41">
        <v>1</v>
      </c>
      <c r="Z1875" s="13"/>
      <c r="AA1875" s="13">
        <f t="shared" si="98"/>
        <v>161900</v>
      </c>
      <c r="AE1875" s="42"/>
      <c r="AL1875" s="94" t="s">
        <v>819</v>
      </c>
      <c r="AM1875" s="86">
        <v>544074</v>
      </c>
    </row>
    <row r="1876" spans="13:39" hidden="1">
      <c r="M1876" s="141">
        <v>161999</v>
      </c>
      <c r="N1876" s="223">
        <v>321858</v>
      </c>
      <c r="O1876" s="142" t="s">
        <v>244</v>
      </c>
      <c r="P1876" s="142" t="s">
        <v>245</v>
      </c>
      <c r="Q1876" s="145">
        <v>34</v>
      </c>
      <c r="R1876" s="142" t="s">
        <v>379</v>
      </c>
      <c r="S1876" s="142" t="s">
        <v>801</v>
      </c>
      <c r="T1876" s="144">
        <v>41987</v>
      </c>
      <c r="U1876" s="172">
        <f t="shared" si="99"/>
        <v>2014</v>
      </c>
      <c r="V1876" s="172">
        <f t="shared" si="100"/>
        <v>12</v>
      </c>
      <c r="W1876" s="97" t="s">
        <v>586</v>
      </c>
      <c r="X1876" t="s">
        <v>892</v>
      </c>
      <c r="Y1876" s="41">
        <v>1</v>
      </c>
      <c r="Z1876" s="13"/>
      <c r="AA1876" s="13">
        <f t="shared" si="98"/>
        <v>161999</v>
      </c>
      <c r="AE1876" s="42"/>
      <c r="AL1876" s="94" t="s">
        <v>819</v>
      </c>
      <c r="AM1876" s="86">
        <v>544074</v>
      </c>
    </row>
    <row r="1877" spans="13:39" hidden="1">
      <c r="M1877" s="141">
        <v>162000</v>
      </c>
      <c r="N1877" s="223">
        <v>321858</v>
      </c>
      <c r="O1877" s="142" t="s">
        <v>244</v>
      </c>
      <c r="P1877" s="142" t="s">
        <v>245</v>
      </c>
      <c r="Q1877" s="145">
        <v>30</v>
      </c>
      <c r="R1877" s="142" t="s">
        <v>379</v>
      </c>
      <c r="S1877" s="142" t="s">
        <v>801</v>
      </c>
      <c r="T1877" s="144">
        <v>41987</v>
      </c>
      <c r="U1877" s="172">
        <f t="shared" si="99"/>
        <v>2014</v>
      </c>
      <c r="V1877" s="172">
        <f t="shared" si="100"/>
        <v>12</v>
      </c>
      <c r="W1877" s="97" t="s">
        <v>586</v>
      </c>
      <c r="X1877" t="s">
        <v>892</v>
      </c>
      <c r="Y1877" s="41">
        <v>1</v>
      </c>
      <c r="Z1877" s="13"/>
      <c r="AA1877" s="13">
        <f t="shared" si="98"/>
        <v>162000</v>
      </c>
      <c r="AE1877" s="42"/>
      <c r="AL1877" s="94" t="s">
        <v>819</v>
      </c>
      <c r="AM1877" s="86">
        <v>544074</v>
      </c>
    </row>
    <row r="1878" spans="13:39" hidden="1">
      <c r="M1878" s="141">
        <v>162555</v>
      </c>
      <c r="N1878" s="223">
        <v>431242</v>
      </c>
      <c r="O1878" s="142" t="s">
        <v>244</v>
      </c>
      <c r="P1878" s="142" t="s">
        <v>245</v>
      </c>
      <c r="Q1878" s="143" t="s">
        <v>433</v>
      </c>
      <c r="R1878" s="142" t="s">
        <v>379</v>
      </c>
      <c r="S1878" s="142" t="s">
        <v>801</v>
      </c>
      <c r="T1878" s="144">
        <v>42722</v>
      </c>
      <c r="U1878" s="172">
        <f t="shared" si="99"/>
        <v>2016</v>
      </c>
      <c r="V1878" s="172">
        <f t="shared" si="100"/>
        <v>12</v>
      </c>
      <c r="W1878" s="97" t="s">
        <v>386</v>
      </c>
      <c r="X1878" t="s">
        <v>892</v>
      </c>
      <c r="Y1878">
        <v>1</v>
      </c>
      <c r="Z1878" s="13"/>
      <c r="AA1878" s="13">
        <f t="shared" si="98"/>
        <v>162555</v>
      </c>
      <c r="AE1878" s="42"/>
      <c r="AL1878" s="94" t="s">
        <v>819</v>
      </c>
      <c r="AM1878" s="86">
        <v>544074</v>
      </c>
    </row>
    <row r="1879" spans="13:39" hidden="1">
      <c r="M1879" s="141">
        <v>162729</v>
      </c>
      <c r="N1879" s="223">
        <v>321858</v>
      </c>
      <c r="O1879" s="142" t="s">
        <v>244</v>
      </c>
      <c r="P1879" s="142" t="s">
        <v>245</v>
      </c>
      <c r="Q1879" s="143" t="s">
        <v>599</v>
      </c>
      <c r="R1879" s="142" t="s">
        <v>379</v>
      </c>
      <c r="S1879" s="142" t="s">
        <v>801</v>
      </c>
      <c r="T1879" s="144">
        <v>41987</v>
      </c>
      <c r="U1879" s="172">
        <f t="shared" si="99"/>
        <v>2014</v>
      </c>
      <c r="V1879" s="172">
        <f t="shared" si="100"/>
        <v>12</v>
      </c>
      <c r="W1879" s="97" t="s">
        <v>586</v>
      </c>
      <c r="X1879" t="s">
        <v>892</v>
      </c>
      <c r="Y1879" s="41">
        <v>1</v>
      </c>
      <c r="Z1879" s="13"/>
      <c r="AA1879" s="13">
        <f t="shared" si="98"/>
        <v>162729</v>
      </c>
      <c r="AE1879" s="42"/>
      <c r="AL1879" s="94" t="s">
        <v>819</v>
      </c>
      <c r="AM1879" s="86">
        <v>544074</v>
      </c>
    </row>
    <row r="1880" spans="13:39" hidden="1">
      <c r="M1880" s="141">
        <v>162766</v>
      </c>
      <c r="N1880" s="223">
        <v>321858</v>
      </c>
      <c r="O1880" s="142" t="s">
        <v>244</v>
      </c>
      <c r="P1880" s="142" t="s">
        <v>245</v>
      </c>
      <c r="Q1880" s="143" t="s">
        <v>603</v>
      </c>
      <c r="R1880" s="142" t="s">
        <v>379</v>
      </c>
      <c r="S1880" s="142" t="s">
        <v>801</v>
      </c>
      <c r="T1880" s="144">
        <v>41987</v>
      </c>
      <c r="U1880" s="172">
        <f t="shared" si="99"/>
        <v>2014</v>
      </c>
      <c r="V1880" s="172">
        <f t="shared" si="100"/>
        <v>12</v>
      </c>
      <c r="W1880" s="97" t="s">
        <v>586</v>
      </c>
      <c r="X1880" t="s">
        <v>892</v>
      </c>
      <c r="Y1880" s="41">
        <v>1</v>
      </c>
      <c r="Z1880" s="13"/>
      <c r="AA1880" s="13">
        <f t="shared" si="98"/>
        <v>162766</v>
      </c>
      <c r="AE1880" s="42"/>
      <c r="AL1880" s="94" t="s">
        <v>819</v>
      </c>
      <c r="AM1880" s="86">
        <v>544074</v>
      </c>
    </row>
    <row r="1881" spans="13:39" hidden="1">
      <c r="M1881" s="141">
        <v>162800</v>
      </c>
      <c r="N1881" s="223">
        <v>450200</v>
      </c>
      <c r="O1881" s="142" t="s">
        <v>244</v>
      </c>
      <c r="P1881" s="142" t="s">
        <v>245</v>
      </c>
      <c r="Q1881" s="145">
        <v>152</v>
      </c>
      <c r="R1881" s="142" t="s">
        <v>379</v>
      </c>
      <c r="S1881" s="142" t="s">
        <v>801</v>
      </c>
      <c r="T1881" s="144">
        <v>41763</v>
      </c>
      <c r="U1881" s="172">
        <f t="shared" si="99"/>
        <v>2014</v>
      </c>
      <c r="V1881" s="172">
        <f t="shared" si="100"/>
        <v>5</v>
      </c>
      <c r="W1881" s="97" t="s">
        <v>613</v>
      </c>
      <c r="X1881" t="s">
        <v>892</v>
      </c>
      <c r="Y1881" s="41">
        <v>1</v>
      </c>
      <c r="Z1881" s="13"/>
      <c r="AA1881" s="13">
        <f t="shared" si="98"/>
        <v>162800</v>
      </c>
      <c r="AE1881" s="42"/>
      <c r="AL1881" s="94" t="s">
        <v>819</v>
      </c>
      <c r="AM1881" s="86">
        <v>544074</v>
      </c>
    </row>
    <row r="1882" spans="13:39" hidden="1">
      <c r="M1882" s="141">
        <v>163000</v>
      </c>
      <c r="N1882" s="223">
        <v>321858</v>
      </c>
      <c r="O1882" s="142" t="s">
        <v>244</v>
      </c>
      <c r="P1882" s="142" t="s">
        <v>245</v>
      </c>
      <c r="Q1882" s="143" t="s">
        <v>595</v>
      </c>
      <c r="R1882" s="142" t="s">
        <v>379</v>
      </c>
      <c r="S1882" s="142" t="s">
        <v>801</v>
      </c>
      <c r="T1882" s="144">
        <v>41987</v>
      </c>
      <c r="U1882" s="172">
        <f t="shared" si="99"/>
        <v>2014</v>
      </c>
      <c r="V1882" s="172">
        <f t="shared" si="100"/>
        <v>12</v>
      </c>
      <c r="W1882" s="97" t="s">
        <v>586</v>
      </c>
      <c r="X1882" t="s">
        <v>892</v>
      </c>
      <c r="Y1882" s="41">
        <v>1</v>
      </c>
      <c r="Z1882" s="13"/>
      <c r="AA1882" s="13">
        <f t="shared" si="98"/>
        <v>163000</v>
      </c>
      <c r="AE1882" s="42"/>
      <c r="AL1882" s="94" t="s">
        <v>819</v>
      </c>
      <c r="AM1882" s="86">
        <v>544074</v>
      </c>
    </row>
    <row r="1883" spans="13:39" hidden="1">
      <c r="M1883" s="141">
        <v>163500</v>
      </c>
      <c r="N1883" s="222">
        <v>362871</v>
      </c>
      <c r="O1883" s="142" t="s">
        <v>244</v>
      </c>
      <c r="P1883" s="142" t="s">
        <v>245</v>
      </c>
      <c r="Q1883" s="143" t="s">
        <v>558</v>
      </c>
      <c r="R1883" s="142" t="s">
        <v>379</v>
      </c>
      <c r="S1883" s="142" t="s">
        <v>801</v>
      </c>
      <c r="T1883" s="144">
        <v>42169</v>
      </c>
      <c r="U1883" s="172">
        <f t="shared" si="99"/>
        <v>2015</v>
      </c>
      <c r="V1883" s="172">
        <f t="shared" si="100"/>
        <v>6</v>
      </c>
      <c r="W1883" s="97" t="s">
        <v>464</v>
      </c>
      <c r="X1883" t="s">
        <v>892</v>
      </c>
      <c r="Y1883" s="41">
        <v>1</v>
      </c>
      <c r="Z1883" s="13"/>
      <c r="AA1883" s="13">
        <f t="shared" si="98"/>
        <v>163500</v>
      </c>
      <c r="AE1883" s="42"/>
      <c r="AL1883" s="94" t="s">
        <v>819</v>
      </c>
      <c r="AM1883" s="86">
        <v>544074</v>
      </c>
    </row>
    <row r="1884" spans="13:39" hidden="1">
      <c r="M1884" s="141">
        <v>163500</v>
      </c>
      <c r="N1884" s="223">
        <v>411702</v>
      </c>
      <c r="O1884" s="142" t="s">
        <v>244</v>
      </c>
      <c r="P1884" s="142" t="s">
        <v>245</v>
      </c>
      <c r="Q1884" s="143" t="s">
        <v>552</v>
      </c>
      <c r="R1884" s="142" t="s">
        <v>379</v>
      </c>
      <c r="S1884" s="142" t="s">
        <v>801</v>
      </c>
      <c r="T1884" s="144">
        <v>42169</v>
      </c>
      <c r="U1884" s="172">
        <f t="shared" si="99"/>
        <v>2015</v>
      </c>
      <c r="V1884" s="172">
        <f t="shared" si="100"/>
        <v>6</v>
      </c>
      <c r="W1884" s="97" t="s">
        <v>464</v>
      </c>
      <c r="X1884" t="s">
        <v>892</v>
      </c>
      <c r="Y1884" s="41">
        <v>1</v>
      </c>
      <c r="Z1884" s="13"/>
      <c r="AA1884" s="13">
        <f t="shared" si="98"/>
        <v>163500</v>
      </c>
      <c r="AE1884" s="42"/>
      <c r="AL1884" s="94" t="s">
        <v>819</v>
      </c>
      <c r="AM1884" s="86">
        <v>544643</v>
      </c>
    </row>
    <row r="1885" spans="13:39" hidden="1">
      <c r="M1885" s="141">
        <v>164710</v>
      </c>
      <c r="N1885" s="223">
        <v>261062</v>
      </c>
      <c r="O1885" s="142" t="s">
        <v>244</v>
      </c>
      <c r="P1885" s="142" t="s">
        <v>245</v>
      </c>
      <c r="Q1885" s="145">
        <v>16</v>
      </c>
      <c r="R1885" s="142" t="s">
        <v>459</v>
      </c>
      <c r="S1885" s="142" t="s">
        <v>801</v>
      </c>
      <c r="T1885" s="144">
        <v>42464</v>
      </c>
      <c r="U1885" s="172">
        <f t="shared" si="99"/>
        <v>2016</v>
      </c>
      <c r="V1885" s="172">
        <f t="shared" si="100"/>
        <v>4</v>
      </c>
      <c r="W1885" s="97" t="s">
        <v>460</v>
      </c>
      <c r="X1885" t="s">
        <v>892</v>
      </c>
      <c r="Y1885">
        <v>1</v>
      </c>
      <c r="Z1885" s="13">
        <v>312</v>
      </c>
      <c r="AA1885" s="13">
        <f t="shared" si="98"/>
        <v>164710</v>
      </c>
      <c r="AE1885" s="42"/>
      <c r="AL1885" s="94" t="s">
        <v>819</v>
      </c>
      <c r="AM1885" s="86">
        <v>544643</v>
      </c>
    </row>
    <row r="1886" spans="13:39" hidden="1">
      <c r="M1886" s="141">
        <v>165000</v>
      </c>
      <c r="N1886" s="223">
        <v>321858</v>
      </c>
      <c r="O1886" s="142" t="s">
        <v>244</v>
      </c>
      <c r="P1886" s="142" t="s">
        <v>245</v>
      </c>
      <c r="Q1886" s="143" t="s">
        <v>602</v>
      </c>
      <c r="R1886" s="142" t="s">
        <v>379</v>
      </c>
      <c r="S1886" s="142" t="s">
        <v>801</v>
      </c>
      <c r="T1886" s="144">
        <v>41987</v>
      </c>
      <c r="U1886" s="172">
        <f t="shared" si="99"/>
        <v>2014</v>
      </c>
      <c r="V1886" s="172">
        <f t="shared" si="100"/>
        <v>12</v>
      </c>
      <c r="W1886" s="97" t="s">
        <v>586</v>
      </c>
      <c r="X1886" t="s">
        <v>892</v>
      </c>
      <c r="Y1886" s="41">
        <v>1</v>
      </c>
      <c r="Z1886" s="13"/>
      <c r="AA1886" s="13">
        <f t="shared" si="98"/>
        <v>165000</v>
      </c>
      <c r="AE1886" s="42"/>
      <c r="AL1886" s="94" t="s">
        <v>819</v>
      </c>
      <c r="AM1886" s="86">
        <v>544643</v>
      </c>
    </row>
    <row r="1887" spans="13:39" hidden="1">
      <c r="M1887" s="141">
        <v>165000</v>
      </c>
      <c r="N1887" s="223">
        <v>321858</v>
      </c>
      <c r="O1887" s="142" t="s">
        <v>244</v>
      </c>
      <c r="P1887" s="142" t="s">
        <v>245</v>
      </c>
      <c r="Q1887" s="145">
        <v>35</v>
      </c>
      <c r="R1887" s="142" t="s">
        <v>379</v>
      </c>
      <c r="S1887" s="142" t="s">
        <v>801</v>
      </c>
      <c r="T1887" s="144">
        <v>41987</v>
      </c>
      <c r="U1887" s="172">
        <f t="shared" si="99"/>
        <v>2014</v>
      </c>
      <c r="V1887" s="172">
        <f t="shared" si="100"/>
        <v>12</v>
      </c>
      <c r="W1887" s="97" t="s">
        <v>586</v>
      </c>
      <c r="X1887" t="s">
        <v>892</v>
      </c>
      <c r="Y1887" s="41">
        <v>1</v>
      </c>
      <c r="Z1887" s="13"/>
      <c r="AA1887" s="13">
        <f t="shared" si="98"/>
        <v>165000</v>
      </c>
      <c r="AE1887" s="42"/>
      <c r="AL1887" s="94" t="s">
        <v>819</v>
      </c>
      <c r="AM1887" s="86">
        <v>544643</v>
      </c>
    </row>
    <row r="1888" spans="13:39" hidden="1">
      <c r="M1888" s="141">
        <v>165000</v>
      </c>
      <c r="N1888" s="223">
        <v>345585</v>
      </c>
      <c r="O1888" s="142" t="s">
        <v>244</v>
      </c>
      <c r="P1888" s="142" t="s">
        <v>245</v>
      </c>
      <c r="Q1888" s="143" t="s">
        <v>607</v>
      </c>
      <c r="R1888" s="142" t="s">
        <v>379</v>
      </c>
      <c r="S1888" s="142" t="s">
        <v>801</v>
      </c>
      <c r="T1888" s="144">
        <v>41987</v>
      </c>
      <c r="U1888" s="172">
        <f t="shared" si="99"/>
        <v>2014</v>
      </c>
      <c r="V1888" s="172">
        <f t="shared" si="100"/>
        <v>12</v>
      </c>
      <c r="W1888" s="97" t="s">
        <v>586</v>
      </c>
      <c r="X1888" t="s">
        <v>892</v>
      </c>
      <c r="Y1888" s="41">
        <v>1</v>
      </c>
      <c r="Z1888" s="13"/>
      <c r="AA1888" s="13">
        <f t="shared" si="98"/>
        <v>165000</v>
      </c>
      <c r="AE1888" s="42"/>
      <c r="AL1888" s="94" t="s">
        <v>819</v>
      </c>
      <c r="AM1888" s="86">
        <v>544643</v>
      </c>
    </row>
    <row r="1889" spans="13:39" hidden="1">
      <c r="M1889" s="141">
        <v>165762</v>
      </c>
      <c r="N1889" s="223">
        <v>321858</v>
      </c>
      <c r="O1889" s="142" t="s">
        <v>244</v>
      </c>
      <c r="P1889" s="142" t="s">
        <v>245</v>
      </c>
      <c r="Q1889" s="145">
        <v>20</v>
      </c>
      <c r="R1889" s="142" t="s">
        <v>379</v>
      </c>
      <c r="S1889" s="142" t="s">
        <v>801</v>
      </c>
      <c r="T1889" s="144">
        <v>41987</v>
      </c>
      <c r="U1889" s="172">
        <f t="shared" si="99"/>
        <v>2014</v>
      </c>
      <c r="V1889" s="172">
        <f t="shared" si="100"/>
        <v>12</v>
      </c>
      <c r="W1889" s="97" t="s">
        <v>586</v>
      </c>
      <c r="X1889" t="s">
        <v>892</v>
      </c>
      <c r="Y1889" s="41">
        <v>1</v>
      </c>
      <c r="Z1889" s="13"/>
      <c r="AA1889" s="13">
        <f t="shared" si="98"/>
        <v>165762</v>
      </c>
      <c r="AE1889" s="42"/>
      <c r="AL1889" s="94" t="s">
        <v>819</v>
      </c>
      <c r="AM1889" s="86">
        <v>544643</v>
      </c>
    </row>
    <row r="1890" spans="13:39" hidden="1">
      <c r="M1890" s="141">
        <v>166000</v>
      </c>
      <c r="N1890" s="223">
        <v>430306</v>
      </c>
      <c r="O1890" s="142" t="s">
        <v>244</v>
      </c>
      <c r="P1890" s="142" t="s">
        <v>245</v>
      </c>
      <c r="Q1890" s="143" t="s">
        <v>393</v>
      </c>
      <c r="R1890" s="142" t="s">
        <v>379</v>
      </c>
      <c r="S1890" s="142" t="s">
        <v>801</v>
      </c>
      <c r="T1890" s="144">
        <v>42722</v>
      </c>
      <c r="U1890" s="172">
        <f t="shared" si="99"/>
        <v>2016</v>
      </c>
      <c r="V1890" s="172">
        <f t="shared" si="100"/>
        <v>12</v>
      </c>
      <c r="W1890" s="97" t="s">
        <v>386</v>
      </c>
      <c r="X1890" t="s">
        <v>892</v>
      </c>
      <c r="Y1890">
        <v>1</v>
      </c>
      <c r="Z1890" s="13"/>
      <c r="AA1890" s="13">
        <f t="shared" si="98"/>
        <v>166000</v>
      </c>
      <c r="AE1890" s="42"/>
      <c r="AL1890" s="94" t="s">
        <v>819</v>
      </c>
      <c r="AM1890" s="86">
        <v>544643</v>
      </c>
    </row>
    <row r="1891" spans="13:39" hidden="1">
      <c r="M1891" s="141">
        <v>166620</v>
      </c>
      <c r="N1891" s="223">
        <v>431242</v>
      </c>
      <c r="O1891" s="142" t="s">
        <v>244</v>
      </c>
      <c r="P1891" s="142" t="s">
        <v>245</v>
      </c>
      <c r="Q1891" s="143" t="s">
        <v>434</v>
      </c>
      <c r="R1891" s="142" t="s">
        <v>379</v>
      </c>
      <c r="S1891" s="142" t="s">
        <v>801</v>
      </c>
      <c r="T1891" s="144">
        <v>42722</v>
      </c>
      <c r="U1891" s="172">
        <f t="shared" si="99"/>
        <v>2016</v>
      </c>
      <c r="V1891" s="172">
        <f t="shared" si="100"/>
        <v>12</v>
      </c>
      <c r="W1891" s="97" t="s">
        <v>386</v>
      </c>
      <c r="X1891" t="s">
        <v>892</v>
      </c>
      <c r="Y1891">
        <v>1</v>
      </c>
      <c r="Z1891" s="13"/>
      <c r="AA1891" s="13">
        <f t="shared" si="98"/>
        <v>166620</v>
      </c>
      <c r="AE1891" s="42"/>
      <c r="AL1891" s="94" t="s">
        <v>819</v>
      </c>
      <c r="AM1891" s="86">
        <v>544643</v>
      </c>
    </row>
    <row r="1892" spans="13:39" hidden="1">
      <c r="M1892" s="141">
        <v>168000</v>
      </c>
      <c r="N1892" s="223">
        <v>431242</v>
      </c>
      <c r="O1892" s="142" t="s">
        <v>244</v>
      </c>
      <c r="P1892" s="142" t="s">
        <v>245</v>
      </c>
      <c r="Q1892" s="143" t="s">
        <v>435</v>
      </c>
      <c r="R1892" s="142" t="s">
        <v>379</v>
      </c>
      <c r="S1892" s="142" t="s">
        <v>801</v>
      </c>
      <c r="T1892" s="144">
        <v>42722</v>
      </c>
      <c r="U1892" s="172">
        <f t="shared" si="99"/>
        <v>2016</v>
      </c>
      <c r="V1892" s="172">
        <f t="shared" si="100"/>
        <v>12</v>
      </c>
      <c r="W1892" s="97" t="s">
        <v>386</v>
      </c>
      <c r="X1892" t="s">
        <v>892</v>
      </c>
      <c r="Y1892">
        <v>1</v>
      </c>
      <c r="Z1892" s="13"/>
      <c r="AA1892" s="13">
        <f t="shared" si="98"/>
        <v>168000</v>
      </c>
      <c r="AE1892" s="42"/>
      <c r="AL1892" s="94" t="s">
        <v>819</v>
      </c>
      <c r="AM1892" s="86">
        <v>544643</v>
      </c>
    </row>
    <row r="1893" spans="13:39" hidden="1">
      <c r="M1893" s="141">
        <v>168300</v>
      </c>
      <c r="N1893" s="223">
        <v>321858</v>
      </c>
      <c r="O1893" s="142" t="s">
        <v>244</v>
      </c>
      <c r="P1893" s="142" t="s">
        <v>245</v>
      </c>
      <c r="Q1893" s="145">
        <v>38</v>
      </c>
      <c r="R1893" s="142" t="s">
        <v>379</v>
      </c>
      <c r="S1893" s="142" t="s">
        <v>801</v>
      </c>
      <c r="T1893" s="144">
        <v>41987</v>
      </c>
      <c r="U1893" s="172">
        <f t="shared" si="99"/>
        <v>2014</v>
      </c>
      <c r="V1893" s="172">
        <f t="shared" si="100"/>
        <v>12</v>
      </c>
      <c r="W1893" s="97" t="s">
        <v>586</v>
      </c>
      <c r="X1893" t="s">
        <v>892</v>
      </c>
      <c r="Y1893" s="41">
        <v>1</v>
      </c>
      <c r="Z1893" s="13"/>
      <c r="AA1893" s="13">
        <f t="shared" si="98"/>
        <v>168300</v>
      </c>
      <c r="AE1893" s="42"/>
      <c r="AL1893" s="94" t="s">
        <v>819</v>
      </c>
      <c r="AM1893" s="86">
        <v>544643</v>
      </c>
    </row>
    <row r="1894" spans="13:39" hidden="1">
      <c r="M1894" s="141">
        <v>169000</v>
      </c>
      <c r="N1894" s="223">
        <v>419026</v>
      </c>
      <c r="O1894" s="142" t="s">
        <v>244</v>
      </c>
      <c r="P1894" s="142" t="s">
        <v>245</v>
      </c>
      <c r="Q1894" s="143" t="s">
        <v>467</v>
      </c>
      <c r="R1894" s="142" t="s">
        <v>379</v>
      </c>
      <c r="S1894" s="142" t="s">
        <v>801</v>
      </c>
      <c r="T1894" s="144">
        <v>42169</v>
      </c>
      <c r="U1894" s="172">
        <f t="shared" si="99"/>
        <v>2015</v>
      </c>
      <c r="V1894" s="172">
        <f t="shared" si="100"/>
        <v>6</v>
      </c>
      <c r="W1894" s="97" t="s">
        <v>464</v>
      </c>
      <c r="X1894" t="s">
        <v>892</v>
      </c>
      <c r="Y1894" s="41">
        <v>1</v>
      </c>
      <c r="Z1894" s="13"/>
      <c r="AA1894" s="13">
        <f t="shared" si="98"/>
        <v>169000</v>
      </c>
      <c r="AE1894" s="42"/>
      <c r="AL1894" s="94" t="s">
        <v>819</v>
      </c>
      <c r="AM1894" s="86">
        <v>544643</v>
      </c>
    </row>
    <row r="1895" spans="13:39" hidden="1">
      <c r="M1895" s="141">
        <v>169145</v>
      </c>
      <c r="N1895" s="223">
        <v>321858</v>
      </c>
      <c r="O1895" s="142" t="s">
        <v>244</v>
      </c>
      <c r="P1895" s="142" t="s">
        <v>245</v>
      </c>
      <c r="Q1895" s="145">
        <v>13</v>
      </c>
      <c r="R1895" s="142" t="s">
        <v>379</v>
      </c>
      <c r="S1895" s="142" t="s">
        <v>801</v>
      </c>
      <c r="T1895" s="144">
        <v>41987</v>
      </c>
      <c r="U1895" s="172">
        <f t="shared" si="99"/>
        <v>2014</v>
      </c>
      <c r="V1895" s="172">
        <f t="shared" si="100"/>
        <v>12</v>
      </c>
      <c r="W1895" s="97" t="s">
        <v>586</v>
      </c>
      <c r="X1895" t="s">
        <v>892</v>
      </c>
      <c r="Y1895" s="41">
        <v>1</v>
      </c>
      <c r="Z1895" s="13"/>
      <c r="AA1895" s="13">
        <f t="shared" si="98"/>
        <v>169145</v>
      </c>
      <c r="AE1895" s="42"/>
      <c r="AL1895" s="94" t="s">
        <v>819</v>
      </c>
      <c r="AM1895" s="86">
        <v>544643</v>
      </c>
    </row>
    <row r="1896" spans="13:39" hidden="1">
      <c r="M1896" s="141">
        <v>169280</v>
      </c>
      <c r="N1896" s="222">
        <v>352806</v>
      </c>
      <c r="O1896" s="142" t="s">
        <v>244</v>
      </c>
      <c r="P1896" s="142" t="s">
        <v>245</v>
      </c>
      <c r="Q1896" s="143" t="s">
        <v>597</v>
      </c>
      <c r="R1896" s="142" t="s">
        <v>379</v>
      </c>
      <c r="S1896" s="142" t="s">
        <v>801</v>
      </c>
      <c r="T1896" s="144">
        <v>41987</v>
      </c>
      <c r="U1896" s="172">
        <f t="shared" si="99"/>
        <v>2014</v>
      </c>
      <c r="V1896" s="172">
        <f t="shared" si="100"/>
        <v>12</v>
      </c>
      <c r="W1896" s="97" t="s">
        <v>586</v>
      </c>
      <c r="X1896" t="s">
        <v>892</v>
      </c>
      <c r="Y1896" s="41">
        <v>1</v>
      </c>
      <c r="Z1896" s="13"/>
      <c r="AA1896" s="13">
        <f t="shared" si="98"/>
        <v>169280</v>
      </c>
      <c r="AE1896" s="42"/>
      <c r="AL1896" s="94" t="s">
        <v>819</v>
      </c>
      <c r="AM1896" s="86">
        <v>544643</v>
      </c>
    </row>
    <row r="1897" spans="13:39" hidden="1">
      <c r="M1897" s="141">
        <v>169674</v>
      </c>
      <c r="N1897" s="223">
        <v>450200</v>
      </c>
      <c r="O1897" s="142" t="s">
        <v>244</v>
      </c>
      <c r="P1897" s="142" t="s">
        <v>245</v>
      </c>
      <c r="Q1897" s="145">
        <v>151</v>
      </c>
      <c r="R1897" s="142" t="s">
        <v>379</v>
      </c>
      <c r="S1897" s="142" t="s">
        <v>801</v>
      </c>
      <c r="T1897" s="144">
        <v>41763</v>
      </c>
      <c r="U1897" s="172">
        <f t="shared" si="99"/>
        <v>2014</v>
      </c>
      <c r="V1897" s="172">
        <f t="shared" si="100"/>
        <v>5</v>
      </c>
      <c r="W1897" s="97" t="s">
        <v>613</v>
      </c>
      <c r="X1897" t="s">
        <v>892</v>
      </c>
      <c r="Y1897" s="41">
        <v>1</v>
      </c>
      <c r="Z1897" s="13"/>
      <c r="AA1897" s="13">
        <f t="shared" si="98"/>
        <v>169674</v>
      </c>
      <c r="AE1897" s="42"/>
      <c r="AL1897" s="94" t="s">
        <v>819</v>
      </c>
      <c r="AM1897" s="86">
        <v>544643</v>
      </c>
    </row>
    <row r="1898" spans="13:39" hidden="1">
      <c r="M1898" s="141">
        <v>170000</v>
      </c>
      <c r="N1898" s="222">
        <v>352806</v>
      </c>
      <c r="O1898" s="142" t="s">
        <v>244</v>
      </c>
      <c r="P1898" s="142" t="s">
        <v>245</v>
      </c>
      <c r="Q1898" s="143" t="s">
        <v>596</v>
      </c>
      <c r="R1898" s="142" t="s">
        <v>379</v>
      </c>
      <c r="S1898" s="142" t="s">
        <v>801</v>
      </c>
      <c r="T1898" s="144">
        <v>41987</v>
      </c>
      <c r="U1898" s="172">
        <f t="shared" si="99"/>
        <v>2014</v>
      </c>
      <c r="V1898" s="172">
        <f t="shared" si="100"/>
        <v>12</v>
      </c>
      <c r="W1898" s="97" t="s">
        <v>586</v>
      </c>
      <c r="X1898" t="s">
        <v>892</v>
      </c>
      <c r="Y1898" s="41">
        <v>1</v>
      </c>
      <c r="Z1898" s="13"/>
      <c r="AA1898" s="13">
        <f t="shared" si="98"/>
        <v>170000</v>
      </c>
      <c r="AE1898" s="42"/>
      <c r="AL1898" s="94" t="s">
        <v>819</v>
      </c>
      <c r="AM1898" s="86">
        <v>544643</v>
      </c>
    </row>
    <row r="1899" spans="13:39" hidden="1">
      <c r="M1899" s="141">
        <v>170000</v>
      </c>
      <c r="N1899" s="223">
        <v>431242</v>
      </c>
      <c r="O1899" s="142" t="s">
        <v>244</v>
      </c>
      <c r="P1899" s="142" t="s">
        <v>245</v>
      </c>
      <c r="Q1899" s="143" t="s">
        <v>436</v>
      </c>
      <c r="R1899" s="142" t="s">
        <v>379</v>
      </c>
      <c r="S1899" s="142" t="s">
        <v>801</v>
      </c>
      <c r="T1899" s="144">
        <v>42722</v>
      </c>
      <c r="U1899" s="172">
        <f t="shared" si="99"/>
        <v>2016</v>
      </c>
      <c r="V1899" s="172">
        <f t="shared" si="100"/>
        <v>12</v>
      </c>
      <c r="W1899" s="97" t="s">
        <v>386</v>
      </c>
      <c r="X1899" t="s">
        <v>892</v>
      </c>
      <c r="Y1899">
        <v>1</v>
      </c>
      <c r="Z1899" s="13"/>
      <c r="AA1899" s="13">
        <f t="shared" si="98"/>
        <v>170000</v>
      </c>
      <c r="AE1899" s="42"/>
      <c r="AL1899" s="94" t="s">
        <v>819</v>
      </c>
      <c r="AM1899" s="86">
        <v>544643</v>
      </c>
    </row>
    <row r="1900" spans="13:39" hidden="1">
      <c r="M1900" s="141">
        <v>170012</v>
      </c>
      <c r="N1900" s="223">
        <v>420247</v>
      </c>
      <c r="O1900" s="142" t="s">
        <v>244</v>
      </c>
      <c r="P1900" s="142" t="s">
        <v>245</v>
      </c>
      <c r="Q1900" s="143" t="s">
        <v>530</v>
      </c>
      <c r="R1900" s="142" t="s">
        <v>379</v>
      </c>
      <c r="S1900" s="142" t="s">
        <v>801</v>
      </c>
      <c r="T1900" s="144">
        <v>42169</v>
      </c>
      <c r="U1900" s="172">
        <f t="shared" si="99"/>
        <v>2015</v>
      </c>
      <c r="V1900" s="172">
        <f t="shared" si="100"/>
        <v>6</v>
      </c>
      <c r="W1900" s="97" t="s">
        <v>464</v>
      </c>
      <c r="X1900" t="s">
        <v>892</v>
      </c>
      <c r="Y1900" s="41">
        <v>1</v>
      </c>
      <c r="Z1900" s="13"/>
      <c r="AA1900" s="13">
        <f t="shared" si="98"/>
        <v>170012</v>
      </c>
      <c r="AE1900" s="42"/>
      <c r="AL1900" s="94" t="s">
        <v>819</v>
      </c>
      <c r="AM1900" s="86">
        <v>544643</v>
      </c>
    </row>
    <row r="1901" spans="13:39" hidden="1">
      <c r="M1901" s="141">
        <v>171171</v>
      </c>
      <c r="N1901" s="223">
        <v>430306</v>
      </c>
      <c r="O1901" s="142" t="s">
        <v>244</v>
      </c>
      <c r="P1901" s="142" t="s">
        <v>245</v>
      </c>
      <c r="Q1901" s="143" t="s">
        <v>390</v>
      </c>
      <c r="R1901" s="142" t="s">
        <v>379</v>
      </c>
      <c r="S1901" s="142" t="s">
        <v>801</v>
      </c>
      <c r="T1901" s="144">
        <v>42722</v>
      </c>
      <c r="U1901" s="172">
        <f t="shared" si="99"/>
        <v>2016</v>
      </c>
      <c r="V1901" s="172">
        <f t="shared" si="100"/>
        <v>12</v>
      </c>
      <c r="W1901" s="97" t="s">
        <v>386</v>
      </c>
      <c r="X1901" t="s">
        <v>892</v>
      </c>
      <c r="Y1901">
        <v>1</v>
      </c>
      <c r="Z1901" s="13"/>
      <c r="AA1901" s="13">
        <f t="shared" si="98"/>
        <v>171171</v>
      </c>
      <c r="AE1901" s="42"/>
      <c r="AL1901" s="94" t="s">
        <v>819</v>
      </c>
      <c r="AM1901" s="86">
        <v>544643</v>
      </c>
    </row>
    <row r="1902" spans="13:39" hidden="1">
      <c r="M1902" s="141">
        <v>171840</v>
      </c>
      <c r="N1902" s="223">
        <v>420247</v>
      </c>
      <c r="O1902" s="142" t="s">
        <v>244</v>
      </c>
      <c r="P1902" s="142" t="s">
        <v>245</v>
      </c>
      <c r="Q1902" s="143" t="s">
        <v>562</v>
      </c>
      <c r="R1902" s="142" t="s">
        <v>379</v>
      </c>
      <c r="S1902" s="142" t="s">
        <v>801</v>
      </c>
      <c r="T1902" s="144">
        <v>42169</v>
      </c>
      <c r="U1902" s="172">
        <f t="shared" si="99"/>
        <v>2015</v>
      </c>
      <c r="V1902" s="172">
        <f t="shared" si="100"/>
        <v>6</v>
      </c>
      <c r="W1902" s="97" t="s">
        <v>464</v>
      </c>
      <c r="X1902" t="s">
        <v>892</v>
      </c>
      <c r="Y1902" s="41">
        <v>1</v>
      </c>
      <c r="Z1902" s="13"/>
      <c r="AA1902" s="13">
        <f t="shared" si="98"/>
        <v>171840</v>
      </c>
      <c r="AE1902" s="42"/>
      <c r="AL1902" s="94" t="s">
        <v>819</v>
      </c>
      <c r="AM1902" s="86">
        <v>544643</v>
      </c>
    </row>
    <row r="1903" spans="13:39" hidden="1">
      <c r="M1903" s="141">
        <v>172240</v>
      </c>
      <c r="N1903" s="223">
        <v>389728</v>
      </c>
      <c r="O1903" s="142" t="s">
        <v>244</v>
      </c>
      <c r="P1903" s="142" t="s">
        <v>245</v>
      </c>
      <c r="Q1903" s="143" t="s">
        <v>536</v>
      </c>
      <c r="R1903" s="142" t="s">
        <v>379</v>
      </c>
      <c r="S1903" s="142" t="s">
        <v>801</v>
      </c>
      <c r="T1903" s="144">
        <v>42169</v>
      </c>
      <c r="U1903" s="172">
        <f t="shared" si="99"/>
        <v>2015</v>
      </c>
      <c r="V1903" s="172">
        <f t="shared" si="100"/>
        <v>6</v>
      </c>
      <c r="W1903" s="97" t="s">
        <v>464</v>
      </c>
      <c r="X1903" t="s">
        <v>892</v>
      </c>
      <c r="Y1903" s="41">
        <v>1</v>
      </c>
      <c r="Z1903" s="13"/>
      <c r="AA1903" s="13">
        <f t="shared" si="98"/>
        <v>172240</v>
      </c>
      <c r="AE1903" s="42"/>
      <c r="AL1903" s="94" t="s">
        <v>819</v>
      </c>
      <c r="AM1903" s="86">
        <v>544643</v>
      </c>
    </row>
    <row r="1904" spans="13:39" hidden="1">
      <c r="M1904" s="141">
        <v>173000</v>
      </c>
      <c r="N1904" s="223">
        <v>445984</v>
      </c>
      <c r="O1904" s="142" t="s">
        <v>244</v>
      </c>
      <c r="P1904" s="142" t="s">
        <v>245</v>
      </c>
      <c r="Q1904" s="145">
        <v>128</v>
      </c>
      <c r="R1904" s="142" t="s">
        <v>379</v>
      </c>
      <c r="S1904" s="142" t="s">
        <v>801</v>
      </c>
      <c r="T1904" s="144">
        <v>41763</v>
      </c>
      <c r="U1904" s="172">
        <f t="shared" si="99"/>
        <v>2014</v>
      </c>
      <c r="V1904" s="172">
        <f t="shared" si="100"/>
        <v>5</v>
      </c>
      <c r="W1904" s="97" t="s">
        <v>613</v>
      </c>
      <c r="X1904" t="s">
        <v>892</v>
      </c>
      <c r="Y1904" s="41">
        <v>1</v>
      </c>
      <c r="Z1904" s="13"/>
      <c r="AA1904" s="13">
        <f t="shared" si="98"/>
        <v>173000</v>
      </c>
      <c r="AE1904" s="42"/>
      <c r="AL1904" s="94" t="s">
        <v>819</v>
      </c>
      <c r="AM1904" s="86">
        <v>544643</v>
      </c>
    </row>
    <row r="1905" spans="13:39" hidden="1">
      <c r="M1905" s="141">
        <v>174000</v>
      </c>
      <c r="N1905" s="223">
        <v>389728</v>
      </c>
      <c r="O1905" s="142" t="s">
        <v>244</v>
      </c>
      <c r="P1905" s="142" t="s">
        <v>245</v>
      </c>
      <c r="Q1905" s="143" t="s">
        <v>535</v>
      </c>
      <c r="R1905" s="142" t="s">
        <v>379</v>
      </c>
      <c r="S1905" s="142" t="s">
        <v>801</v>
      </c>
      <c r="T1905" s="144">
        <v>42169</v>
      </c>
      <c r="U1905" s="172">
        <f t="shared" si="99"/>
        <v>2015</v>
      </c>
      <c r="V1905" s="172">
        <f t="shared" si="100"/>
        <v>6</v>
      </c>
      <c r="W1905" s="97" t="s">
        <v>464</v>
      </c>
      <c r="X1905" t="s">
        <v>892</v>
      </c>
      <c r="Y1905" s="41">
        <v>1</v>
      </c>
      <c r="Z1905" s="13"/>
      <c r="AA1905" s="13">
        <f t="shared" si="98"/>
        <v>174000</v>
      </c>
      <c r="AE1905" s="42"/>
      <c r="AL1905" s="94" t="s">
        <v>819</v>
      </c>
      <c r="AM1905" s="86">
        <v>545213</v>
      </c>
    </row>
    <row r="1906" spans="13:39" hidden="1">
      <c r="M1906" s="141">
        <v>174919</v>
      </c>
      <c r="N1906" s="222">
        <v>375079</v>
      </c>
      <c r="O1906" s="142" t="s">
        <v>244</v>
      </c>
      <c r="P1906" s="142" t="s">
        <v>245</v>
      </c>
      <c r="Q1906" s="143" t="s">
        <v>483</v>
      </c>
      <c r="R1906" s="142" t="s">
        <v>379</v>
      </c>
      <c r="S1906" s="142" t="s">
        <v>801</v>
      </c>
      <c r="T1906" s="144">
        <v>42169</v>
      </c>
      <c r="U1906" s="172">
        <f t="shared" si="99"/>
        <v>2015</v>
      </c>
      <c r="V1906" s="172">
        <f t="shared" si="100"/>
        <v>6</v>
      </c>
      <c r="W1906" s="97" t="s">
        <v>464</v>
      </c>
      <c r="X1906" t="s">
        <v>892</v>
      </c>
      <c r="Y1906" s="41">
        <v>1</v>
      </c>
      <c r="Z1906" s="13"/>
      <c r="AA1906" s="13">
        <f t="shared" si="98"/>
        <v>174919</v>
      </c>
      <c r="AE1906" s="42"/>
      <c r="AL1906" s="94" t="s">
        <v>819</v>
      </c>
      <c r="AM1906" s="86">
        <v>545213</v>
      </c>
    </row>
    <row r="1907" spans="13:39" hidden="1">
      <c r="M1907" s="141">
        <v>175000</v>
      </c>
      <c r="N1907" s="223">
        <v>422530</v>
      </c>
      <c r="O1907" s="142" t="s">
        <v>244</v>
      </c>
      <c r="P1907" s="142" t="s">
        <v>245</v>
      </c>
      <c r="Q1907" s="145">
        <v>62</v>
      </c>
      <c r="R1907" s="142" t="s">
        <v>379</v>
      </c>
      <c r="S1907" s="142" t="s">
        <v>801</v>
      </c>
      <c r="T1907" s="144">
        <v>41763</v>
      </c>
      <c r="U1907" s="172">
        <f t="shared" si="99"/>
        <v>2014</v>
      </c>
      <c r="V1907" s="172">
        <f t="shared" si="100"/>
        <v>5</v>
      </c>
      <c r="W1907" s="97" t="s">
        <v>613</v>
      </c>
      <c r="X1907" t="s">
        <v>892</v>
      </c>
      <c r="Y1907" s="41">
        <v>1</v>
      </c>
      <c r="Z1907" s="13"/>
      <c r="AA1907" s="13">
        <f t="shared" si="98"/>
        <v>175000</v>
      </c>
      <c r="AE1907" s="42"/>
      <c r="AL1907" s="94" t="s">
        <v>819</v>
      </c>
      <c r="AM1907" s="86">
        <v>5454929</v>
      </c>
    </row>
    <row r="1908" spans="13:39" hidden="1">
      <c r="M1908" s="141">
        <v>175000</v>
      </c>
      <c r="N1908" s="223">
        <v>445411</v>
      </c>
      <c r="O1908" s="142" t="s">
        <v>244</v>
      </c>
      <c r="P1908" s="142" t="s">
        <v>245</v>
      </c>
      <c r="Q1908" s="145">
        <v>156</v>
      </c>
      <c r="R1908" s="142" t="s">
        <v>379</v>
      </c>
      <c r="S1908" s="142" t="s">
        <v>801</v>
      </c>
      <c r="T1908" s="144">
        <v>42169</v>
      </c>
      <c r="U1908" s="172">
        <f t="shared" si="99"/>
        <v>2015</v>
      </c>
      <c r="V1908" s="172">
        <f t="shared" si="100"/>
        <v>6</v>
      </c>
      <c r="W1908" s="97" t="s">
        <v>464</v>
      </c>
      <c r="X1908" t="s">
        <v>892</v>
      </c>
      <c r="Y1908" s="41">
        <v>1</v>
      </c>
      <c r="Z1908" s="13"/>
      <c r="AA1908" s="13">
        <f t="shared" si="98"/>
        <v>175000</v>
      </c>
      <c r="AE1908" s="42"/>
      <c r="AL1908" s="94" t="s">
        <v>819</v>
      </c>
      <c r="AM1908" s="86">
        <v>545782</v>
      </c>
    </row>
    <row r="1909" spans="13:39" hidden="1">
      <c r="M1909" s="141">
        <v>176000</v>
      </c>
      <c r="N1909" s="223">
        <v>385817</v>
      </c>
      <c r="O1909" s="142" t="s">
        <v>244</v>
      </c>
      <c r="P1909" s="142" t="s">
        <v>245</v>
      </c>
      <c r="Q1909" s="143" t="s">
        <v>585</v>
      </c>
      <c r="R1909" s="142" t="s">
        <v>379</v>
      </c>
      <c r="S1909" s="142" t="s">
        <v>801</v>
      </c>
      <c r="T1909" s="144">
        <v>41987</v>
      </c>
      <c r="U1909" s="172">
        <f t="shared" si="99"/>
        <v>2014</v>
      </c>
      <c r="V1909" s="172">
        <f t="shared" si="100"/>
        <v>12</v>
      </c>
      <c r="W1909" s="97" t="s">
        <v>586</v>
      </c>
      <c r="X1909" t="s">
        <v>892</v>
      </c>
      <c r="Y1909" s="41">
        <v>1</v>
      </c>
      <c r="Z1909" s="13"/>
      <c r="AA1909" s="13">
        <f t="shared" si="98"/>
        <v>176000</v>
      </c>
      <c r="AE1909" s="42"/>
      <c r="AL1909" s="94" t="s">
        <v>819</v>
      </c>
      <c r="AM1909" s="86">
        <v>545782</v>
      </c>
    </row>
    <row r="1910" spans="13:39" hidden="1">
      <c r="M1910" s="141">
        <v>176089</v>
      </c>
      <c r="N1910" s="223">
        <v>414143</v>
      </c>
      <c r="O1910" s="142" t="s">
        <v>244</v>
      </c>
      <c r="P1910" s="142" t="s">
        <v>245</v>
      </c>
      <c r="Q1910" s="143" t="s">
        <v>463</v>
      </c>
      <c r="R1910" s="142" t="s">
        <v>379</v>
      </c>
      <c r="S1910" s="142" t="s">
        <v>801</v>
      </c>
      <c r="T1910" s="144">
        <v>42169</v>
      </c>
      <c r="U1910" s="172">
        <f t="shared" si="99"/>
        <v>2015</v>
      </c>
      <c r="V1910" s="172">
        <f t="shared" si="100"/>
        <v>6</v>
      </c>
      <c r="W1910" s="97" t="s">
        <v>464</v>
      </c>
      <c r="X1910" t="s">
        <v>892</v>
      </c>
      <c r="Y1910" s="41">
        <v>1</v>
      </c>
      <c r="Z1910" s="13"/>
      <c r="AA1910" s="13">
        <f t="shared" si="98"/>
        <v>176089</v>
      </c>
      <c r="AE1910" s="42"/>
      <c r="AL1910" s="94" t="s">
        <v>819</v>
      </c>
      <c r="AM1910" s="86">
        <v>545782</v>
      </c>
    </row>
    <row r="1911" spans="13:39" hidden="1">
      <c r="M1911" s="141">
        <v>177000</v>
      </c>
      <c r="N1911" s="223">
        <v>423608</v>
      </c>
      <c r="O1911" s="142" t="s">
        <v>244</v>
      </c>
      <c r="P1911" s="142" t="s">
        <v>245</v>
      </c>
      <c r="Q1911" s="143" t="s">
        <v>422</v>
      </c>
      <c r="R1911" s="142" t="s">
        <v>379</v>
      </c>
      <c r="S1911" s="142" t="s">
        <v>801</v>
      </c>
      <c r="T1911" s="144">
        <v>42722</v>
      </c>
      <c r="U1911" s="172">
        <f t="shared" si="99"/>
        <v>2016</v>
      </c>
      <c r="V1911" s="172">
        <f t="shared" si="100"/>
        <v>12</v>
      </c>
      <c r="W1911" s="97" t="s">
        <v>386</v>
      </c>
      <c r="X1911" t="s">
        <v>892</v>
      </c>
      <c r="Y1911">
        <v>1</v>
      </c>
      <c r="Z1911" s="13"/>
      <c r="AA1911" s="13">
        <f t="shared" si="98"/>
        <v>177000</v>
      </c>
      <c r="AE1911" s="42"/>
      <c r="AL1911" s="94" t="s">
        <v>819</v>
      </c>
      <c r="AM1911" s="86">
        <v>545782</v>
      </c>
    </row>
    <row r="1912" spans="13:39" hidden="1">
      <c r="M1912" s="141">
        <v>177770</v>
      </c>
      <c r="N1912" s="223">
        <v>445984</v>
      </c>
      <c r="O1912" s="142" t="s">
        <v>244</v>
      </c>
      <c r="P1912" s="142" t="s">
        <v>245</v>
      </c>
      <c r="Q1912" s="145">
        <v>143</v>
      </c>
      <c r="R1912" s="142" t="s">
        <v>379</v>
      </c>
      <c r="S1912" s="142" t="s">
        <v>801</v>
      </c>
      <c r="T1912" s="144">
        <v>41763</v>
      </c>
      <c r="U1912" s="172">
        <f t="shared" si="99"/>
        <v>2014</v>
      </c>
      <c r="V1912" s="172">
        <f t="shared" si="100"/>
        <v>5</v>
      </c>
      <c r="W1912" s="97" t="s">
        <v>613</v>
      </c>
      <c r="X1912" t="s">
        <v>892</v>
      </c>
      <c r="Y1912" s="41">
        <v>1</v>
      </c>
      <c r="Z1912" s="13"/>
      <c r="AA1912" s="13">
        <f t="shared" si="98"/>
        <v>177770</v>
      </c>
      <c r="AE1912" s="42"/>
      <c r="AL1912" s="94" t="s">
        <v>819</v>
      </c>
      <c r="AM1912" s="86">
        <v>545782</v>
      </c>
    </row>
    <row r="1913" spans="13:39" hidden="1">
      <c r="M1913" s="141">
        <v>177777</v>
      </c>
      <c r="N1913" s="223">
        <v>385817</v>
      </c>
      <c r="O1913" s="142" t="s">
        <v>244</v>
      </c>
      <c r="P1913" s="142" t="s">
        <v>245</v>
      </c>
      <c r="Q1913" s="145">
        <v>41</v>
      </c>
      <c r="R1913" s="142" t="s">
        <v>379</v>
      </c>
      <c r="S1913" s="142" t="s">
        <v>801</v>
      </c>
      <c r="T1913" s="144">
        <v>41987</v>
      </c>
      <c r="U1913" s="172">
        <f t="shared" si="99"/>
        <v>2014</v>
      </c>
      <c r="V1913" s="172">
        <f t="shared" si="100"/>
        <v>12</v>
      </c>
      <c r="W1913" s="97" t="s">
        <v>586</v>
      </c>
      <c r="X1913" t="s">
        <v>892</v>
      </c>
      <c r="Y1913" s="41">
        <v>1</v>
      </c>
      <c r="Z1913" s="13"/>
      <c r="AA1913" s="13">
        <f t="shared" si="98"/>
        <v>177777</v>
      </c>
      <c r="AE1913" s="42"/>
      <c r="AL1913" s="94" t="s">
        <v>819</v>
      </c>
      <c r="AM1913" s="86">
        <v>545782</v>
      </c>
    </row>
    <row r="1914" spans="13:39" hidden="1">
      <c r="M1914" s="141">
        <v>177777</v>
      </c>
      <c r="N1914" s="223">
        <v>430306</v>
      </c>
      <c r="O1914" s="142" t="s">
        <v>244</v>
      </c>
      <c r="P1914" s="142" t="s">
        <v>245</v>
      </c>
      <c r="Q1914" s="143" t="s">
        <v>387</v>
      </c>
      <c r="R1914" s="142" t="s">
        <v>379</v>
      </c>
      <c r="S1914" s="142" t="s">
        <v>801</v>
      </c>
      <c r="T1914" s="144">
        <v>42722</v>
      </c>
      <c r="U1914" s="172">
        <f t="shared" si="99"/>
        <v>2016</v>
      </c>
      <c r="V1914" s="172">
        <f t="shared" si="100"/>
        <v>12</v>
      </c>
      <c r="W1914" s="97" t="s">
        <v>386</v>
      </c>
      <c r="X1914" t="s">
        <v>892</v>
      </c>
      <c r="Y1914">
        <v>1</v>
      </c>
      <c r="Z1914" s="13"/>
      <c r="AA1914" s="13">
        <f t="shared" si="98"/>
        <v>177777</v>
      </c>
      <c r="AE1914" s="42"/>
      <c r="AL1914" s="94" t="s">
        <v>819</v>
      </c>
      <c r="AM1914" s="86">
        <v>545782</v>
      </c>
    </row>
    <row r="1915" spans="13:39" hidden="1">
      <c r="M1915" s="141">
        <v>178000</v>
      </c>
      <c r="N1915" s="223">
        <v>321858</v>
      </c>
      <c r="O1915" s="142" t="s">
        <v>244</v>
      </c>
      <c r="P1915" s="142" t="s">
        <v>245</v>
      </c>
      <c r="Q1915" s="145">
        <v>21</v>
      </c>
      <c r="R1915" s="142" t="s">
        <v>379</v>
      </c>
      <c r="S1915" s="142" t="s">
        <v>801</v>
      </c>
      <c r="T1915" s="144">
        <v>41987</v>
      </c>
      <c r="U1915" s="172">
        <f t="shared" si="99"/>
        <v>2014</v>
      </c>
      <c r="V1915" s="172">
        <f t="shared" si="100"/>
        <v>12</v>
      </c>
      <c r="W1915" s="97" t="s">
        <v>586</v>
      </c>
      <c r="X1915" t="s">
        <v>892</v>
      </c>
      <c r="Y1915" s="41">
        <v>1</v>
      </c>
      <c r="Z1915" s="13"/>
      <c r="AA1915" s="13">
        <f t="shared" si="98"/>
        <v>178000</v>
      </c>
      <c r="AE1915" s="42"/>
      <c r="AL1915" s="94" t="s">
        <v>819</v>
      </c>
      <c r="AM1915" s="86">
        <v>54616349</v>
      </c>
    </row>
    <row r="1916" spans="13:39" hidden="1">
      <c r="M1916" s="141">
        <v>178000</v>
      </c>
      <c r="N1916" s="223">
        <v>389728</v>
      </c>
      <c r="O1916" s="142" t="s">
        <v>244</v>
      </c>
      <c r="P1916" s="142" t="s">
        <v>245</v>
      </c>
      <c r="Q1916" s="143" t="s">
        <v>498</v>
      </c>
      <c r="R1916" s="142" t="s">
        <v>379</v>
      </c>
      <c r="S1916" s="142" t="s">
        <v>801</v>
      </c>
      <c r="T1916" s="144">
        <v>42169</v>
      </c>
      <c r="U1916" s="172">
        <f t="shared" si="99"/>
        <v>2015</v>
      </c>
      <c r="V1916" s="172">
        <f t="shared" si="100"/>
        <v>6</v>
      </c>
      <c r="W1916" s="97" t="s">
        <v>464</v>
      </c>
      <c r="X1916" t="s">
        <v>892</v>
      </c>
      <c r="Y1916" s="41">
        <v>1</v>
      </c>
      <c r="Z1916" s="13"/>
      <c r="AA1916" s="13">
        <f t="shared" si="98"/>
        <v>178000</v>
      </c>
      <c r="AE1916" s="42"/>
      <c r="AL1916" s="94" t="s">
        <v>819</v>
      </c>
      <c r="AM1916" s="86">
        <v>546351</v>
      </c>
    </row>
    <row r="1917" spans="13:39" hidden="1">
      <c r="M1917" s="141">
        <v>178011</v>
      </c>
      <c r="N1917" s="223">
        <v>451987</v>
      </c>
      <c r="O1917" s="142" t="s">
        <v>244</v>
      </c>
      <c r="P1917" s="142" t="s">
        <v>245</v>
      </c>
      <c r="Q1917" s="143" t="s">
        <v>572</v>
      </c>
      <c r="R1917" s="142" t="s">
        <v>379</v>
      </c>
      <c r="S1917" s="142" t="s">
        <v>801</v>
      </c>
      <c r="T1917" s="144">
        <v>42169</v>
      </c>
      <c r="U1917" s="172">
        <f t="shared" si="99"/>
        <v>2015</v>
      </c>
      <c r="V1917" s="172">
        <f t="shared" si="100"/>
        <v>6</v>
      </c>
      <c r="W1917" s="97" t="s">
        <v>464</v>
      </c>
      <c r="X1917" t="s">
        <v>892</v>
      </c>
      <c r="Y1917" s="41">
        <v>1</v>
      </c>
      <c r="Z1917" s="13"/>
      <c r="AA1917" s="13">
        <f t="shared" si="98"/>
        <v>178011</v>
      </c>
      <c r="AE1917" s="42"/>
      <c r="AL1917" s="94" t="s">
        <v>819</v>
      </c>
      <c r="AM1917" s="86">
        <v>546351</v>
      </c>
    </row>
    <row r="1918" spans="13:39" hidden="1">
      <c r="M1918" s="141">
        <v>178400</v>
      </c>
      <c r="N1918" s="223">
        <v>431940</v>
      </c>
      <c r="O1918" s="142" t="s">
        <v>244</v>
      </c>
      <c r="P1918" s="142" t="s">
        <v>245</v>
      </c>
      <c r="Q1918" s="145">
        <v>145</v>
      </c>
      <c r="R1918" s="142" t="s">
        <v>379</v>
      </c>
      <c r="S1918" s="142" t="s">
        <v>801</v>
      </c>
      <c r="T1918" s="144">
        <v>41763</v>
      </c>
      <c r="U1918" s="172">
        <f t="shared" si="99"/>
        <v>2014</v>
      </c>
      <c r="V1918" s="172">
        <f t="shared" si="100"/>
        <v>5</v>
      </c>
      <c r="W1918" s="97" t="s">
        <v>613</v>
      </c>
      <c r="X1918" t="s">
        <v>892</v>
      </c>
      <c r="Y1918" s="41">
        <v>1</v>
      </c>
      <c r="Z1918" s="13"/>
      <c r="AA1918" s="13">
        <f t="shared" si="98"/>
        <v>178400</v>
      </c>
      <c r="AE1918" s="42"/>
      <c r="AL1918" s="94" t="s">
        <v>819</v>
      </c>
      <c r="AM1918" s="86">
        <v>546351</v>
      </c>
    </row>
    <row r="1919" spans="13:39" hidden="1">
      <c r="M1919" s="141">
        <v>179976</v>
      </c>
      <c r="N1919" s="223">
        <v>420247</v>
      </c>
      <c r="O1919" s="142" t="s">
        <v>244</v>
      </c>
      <c r="P1919" s="142" t="s">
        <v>245</v>
      </c>
      <c r="Q1919" s="143" t="s">
        <v>493</v>
      </c>
      <c r="R1919" s="142" t="s">
        <v>379</v>
      </c>
      <c r="S1919" s="142" t="s">
        <v>801</v>
      </c>
      <c r="T1919" s="144">
        <v>42169</v>
      </c>
      <c r="U1919" s="172">
        <f t="shared" si="99"/>
        <v>2015</v>
      </c>
      <c r="V1919" s="172">
        <f t="shared" si="100"/>
        <v>6</v>
      </c>
      <c r="W1919" s="97" t="s">
        <v>464</v>
      </c>
      <c r="X1919" t="s">
        <v>892</v>
      </c>
      <c r="Y1919" s="41">
        <v>1</v>
      </c>
      <c r="Z1919" s="13"/>
      <c r="AA1919" s="13">
        <f t="shared" si="98"/>
        <v>179976</v>
      </c>
      <c r="AE1919" s="42"/>
      <c r="AL1919" s="94" t="s">
        <v>819</v>
      </c>
      <c r="AM1919" s="86">
        <v>546351</v>
      </c>
    </row>
    <row r="1920" spans="13:39" hidden="1">
      <c r="M1920" s="141">
        <v>180000</v>
      </c>
      <c r="N1920" s="223">
        <v>321858</v>
      </c>
      <c r="O1920" s="142" t="s">
        <v>244</v>
      </c>
      <c r="P1920" s="142" t="s">
        <v>245</v>
      </c>
      <c r="Q1920" s="145">
        <v>14</v>
      </c>
      <c r="R1920" s="142" t="s">
        <v>379</v>
      </c>
      <c r="S1920" s="142" t="s">
        <v>801</v>
      </c>
      <c r="T1920" s="144">
        <v>41987</v>
      </c>
      <c r="U1920" s="172">
        <f t="shared" si="99"/>
        <v>2014</v>
      </c>
      <c r="V1920" s="172">
        <f t="shared" si="100"/>
        <v>12</v>
      </c>
      <c r="W1920" s="97" t="s">
        <v>586</v>
      </c>
      <c r="X1920" t="s">
        <v>892</v>
      </c>
      <c r="Y1920" s="41">
        <v>1</v>
      </c>
      <c r="Z1920" s="13"/>
      <c r="AA1920" s="13">
        <f t="shared" si="98"/>
        <v>180000</v>
      </c>
      <c r="AE1920" s="42"/>
      <c r="AL1920" s="94" t="s">
        <v>819</v>
      </c>
      <c r="AM1920" s="86">
        <v>546351</v>
      </c>
    </row>
    <row r="1921" spans="13:39" hidden="1">
      <c r="M1921" s="141">
        <v>180180</v>
      </c>
      <c r="N1921" s="222">
        <v>350642</v>
      </c>
      <c r="O1921" s="142" t="s">
        <v>244</v>
      </c>
      <c r="P1921" s="142" t="s">
        <v>245</v>
      </c>
      <c r="Q1921" s="145">
        <v>8</v>
      </c>
      <c r="R1921" s="142" t="s">
        <v>459</v>
      </c>
      <c r="S1921" s="142" t="s">
        <v>801</v>
      </c>
      <c r="T1921" s="144">
        <v>42464</v>
      </c>
      <c r="U1921" s="172">
        <f t="shared" si="99"/>
        <v>2016</v>
      </c>
      <c r="V1921" s="172">
        <f t="shared" si="100"/>
        <v>4</v>
      </c>
      <c r="W1921" s="97" t="s">
        <v>460</v>
      </c>
      <c r="X1921" t="s">
        <v>892</v>
      </c>
      <c r="Y1921">
        <v>1</v>
      </c>
      <c r="Z1921" s="13">
        <v>456</v>
      </c>
      <c r="AA1921" s="13">
        <f t="shared" si="98"/>
        <v>180180</v>
      </c>
      <c r="AE1921" s="42"/>
      <c r="AL1921" s="94" t="s">
        <v>819</v>
      </c>
      <c r="AM1921" s="86">
        <v>546351</v>
      </c>
    </row>
    <row r="1922" spans="13:39" hidden="1">
      <c r="M1922" s="141">
        <v>180180</v>
      </c>
      <c r="N1922" s="223">
        <v>445984</v>
      </c>
      <c r="O1922" s="142" t="s">
        <v>244</v>
      </c>
      <c r="P1922" s="142" t="s">
        <v>245</v>
      </c>
      <c r="Q1922" s="145">
        <v>144</v>
      </c>
      <c r="R1922" s="142" t="s">
        <v>379</v>
      </c>
      <c r="S1922" s="142" t="s">
        <v>801</v>
      </c>
      <c r="T1922" s="144">
        <v>41763</v>
      </c>
      <c r="U1922" s="172">
        <f t="shared" si="99"/>
        <v>2014</v>
      </c>
      <c r="V1922" s="172">
        <f t="shared" si="100"/>
        <v>5</v>
      </c>
      <c r="W1922" s="97" t="s">
        <v>613</v>
      </c>
      <c r="X1922" t="s">
        <v>892</v>
      </c>
      <c r="Y1922" s="41">
        <v>1</v>
      </c>
      <c r="Z1922" s="13"/>
      <c r="AA1922" s="13">
        <f t="shared" si="98"/>
        <v>180180</v>
      </c>
      <c r="AE1922" s="42"/>
      <c r="AL1922" s="94" t="s">
        <v>819</v>
      </c>
      <c r="AM1922" s="86">
        <v>546351</v>
      </c>
    </row>
    <row r="1923" spans="13:39" hidden="1">
      <c r="M1923" s="141">
        <v>180180</v>
      </c>
      <c r="N1923" s="223">
        <v>445984</v>
      </c>
      <c r="O1923" s="142" t="s">
        <v>244</v>
      </c>
      <c r="P1923" s="142" t="s">
        <v>245</v>
      </c>
      <c r="Q1923" s="145">
        <v>147</v>
      </c>
      <c r="R1923" s="142" t="s">
        <v>379</v>
      </c>
      <c r="S1923" s="142" t="s">
        <v>801</v>
      </c>
      <c r="T1923" s="144">
        <v>41763</v>
      </c>
      <c r="U1923" s="172">
        <f t="shared" si="99"/>
        <v>2014</v>
      </c>
      <c r="V1923" s="172">
        <f t="shared" si="100"/>
        <v>5</v>
      </c>
      <c r="W1923" s="97" t="s">
        <v>613</v>
      </c>
      <c r="X1923" t="s">
        <v>892</v>
      </c>
      <c r="Y1923" s="41">
        <v>1</v>
      </c>
      <c r="Z1923" s="13"/>
      <c r="AA1923" s="13">
        <f t="shared" si="98"/>
        <v>180180</v>
      </c>
      <c r="AE1923" s="42"/>
      <c r="AL1923" s="94" t="s">
        <v>819</v>
      </c>
      <c r="AM1923" s="86">
        <v>546921</v>
      </c>
    </row>
    <row r="1924" spans="13:39" hidden="1">
      <c r="M1924" s="141">
        <v>180180</v>
      </c>
      <c r="N1924" s="223">
        <v>445984</v>
      </c>
      <c r="O1924" s="142" t="s">
        <v>244</v>
      </c>
      <c r="P1924" s="142" t="s">
        <v>245</v>
      </c>
      <c r="Q1924" s="145">
        <v>148</v>
      </c>
      <c r="R1924" s="142" t="s">
        <v>379</v>
      </c>
      <c r="S1924" s="142" t="s">
        <v>801</v>
      </c>
      <c r="T1924" s="144">
        <v>41763</v>
      </c>
      <c r="U1924" s="172">
        <f t="shared" si="99"/>
        <v>2014</v>
      </c>
      <c r="V1924" s="172">
        <f t="shared" si="100"/>
        <v>5</v>
      </c>
      <c r="W1924" s="97" t="s">
        <v>613</v>
      </c>
      <c r="X1924" t="s">
        <v>892</v>
      </c>
      <c r="Y1924" s="41">
        <v>1</v>
      </c>
      <c r="Z1924" s="13"/>
      <c r="AA1924" s="13">
        <f t="shared" ref="AA1924:AA1987" si="101">IF(M1924&lt;30000,Y1924*100*M1924*(1-$L$1)-$L$2*Y1924,M1924)</f>
        <v>180180</v>
      </c>
      <c r="AE1924" s="42"/>
      <c r="AL1924" s="94" t="s">
        <v>819</v>
      </c>
      <c r="AM1924" s="86">
        <v>546921</v>
      </c>
    </row>
    <row r="1925" spans="13:39" hidden="1">
      <c r="M1925" s="141">
        <v>180456</v>
      </c>
      <c r="N1925" s="223">
        <v>411506</v>
      </c>
      <c r="O1925" s="142" t="s">
        <v>244</v>
      </c>
      <c r="P1925" s="142" t="s">
        <v>245</v>
      </c>
      <c r="Q1925" s="143" t="s">
        <v>419</v>
      </c>
      <c r="R1925" s="142" t="s">
        <v>379</v>
      </c>
      <c r="S1925" s="142" t="s">
        <v>801</v>
      </c>
      <c r="T1925" s="144">
        <v>42722</v>
      </c>
      <c r="U1925" s="172">
        <f t="shared" si="99"/>
        <v>2016</v>
      </c>
      <c r="V1925" s="172">
        <f t="shared" si="100"/>
        <v>12</v>
      </c>
      <c r="W1925" s="97" t="s">
        <v>386</v>
      </c>
      <c r="X1925" t="s">
        <v>892</v>
      </c>
      <c r="Y1925">
        <v>1</v>
      </c>
      <c r="Z1925" s="13"/>
      <c r="AA1925" s="13">
        <f t="shared" si="101"/>
        <v>180456</v>
      </c>
      <c r="AE1925" s="42"/>
      <c r="AL1925" s="94" t="s">
        <v>819</v>
      </c>
      <c r="AM1925" s="86">
        <v>546921</v>
      </c>
    </row>
    <row r="1926" spans="13:39" hidden="1">
      <c r="M1926" s="141">
        <v>180771</v>
      </c>
      <c r="N1926" s="223">
        <v>518339</v>
      </c>
      <c r="O1926" s="142" t="s">
        <v>244</v>
      </c>
      <c r="P1926" s="142" t="s">
        <v>245</v>
      </c>
      <c r="Q1926" s="145">
        <v>181</v>
      </c>
      <c r="R1926" s="142" t="s">
        <v>379</v>
      </c>
      <c r="S1926" s="142" t="s">
        <v>801</v>
      </c>
      <c r="T1926" s="144">
        <v>42722</v>
      </c>
      <c r="U1926" s="172">
        <f t="shared" si="99"/>
        <v>2016</v>
      </c>
      <c r="V1926" s="172">
        <f t="shared" si="100"/>
        <v>12</v>
      </c>
      <c r="W1926" s="97" t="s">
        <v>386</v>
      </c>
      <c r="X1926" t="s">
        <v>892</v>
      </c>
      <c r="Y1926">
        <v>1</v>
      </c>
      <c r="Z1926" s="13"/>
      <c r="AA1926" s="13">
        <f t="shared" si="101"/>
        <v>180771</v>
      </c>
      <c r="AE1926" s="42"/>
      <c r="AL1926" s="94" t="s">
        <v>819</v>
      </c>
      <c r="AM1926" s="86">
        <v>546921</v>
      </c>
    </row>
    <row r="1927" spans="13:39" hidden="1">
      <c r="M1927" s="141">
        <v>181325</v>
      </c>
      <c r="N1927" s="223">
        <v>417342</v>
      </c>
      <c r="O1927" s="142" t="s">
        <v>244</v>
      </c>
      <c r="P1927" s="142" t="s">
        <v>245</v>
      </c>
      <c r="Q1927" s="143" t="s">
        <v>411</v>
      </c>
      <c r="R1927" s="142" t="s">
        <v>379</v>
      </c>
      <c r="S1927" s="142" t="s">
        <v>801</v>
      </c>
      <c r="T1927" s="144">
        <v>42722</v>
      </c>
      <c r="U1927" s="172">
        <f t="shared" ref="U1927:U1990" si="102">YEAR($T1927)</f>
        <v>2016</v>
      </c>
      <c r="V1927" s="172">
        <f t="shared" ref="V1927:V1990" si="103">MONTH($T1927)</f>
        <v>12</v>
      </c>
      <c r="W1927" s="97" t="s">
        <v>386</v>
      </c>
      <c r="X1927" t="s">
        <v>892</v>
      </c>
      <c r="Y1927">
        <v>1</v>
      </c>
      <c r="Z1927" s="13"/>
      <c r="AA1927" s="13">
        <f t="shared" si="101"/>
        <v>181325</v>
      </c>
      <c r="AE1927" s="42"/>
      <c r="AL1927" s="94" t="s">
        <v>819</v>
      </c>
      <c r="AM1927" s="86">
        <v>546921</v>
      </c>
    </row>
    <row r="1928" spans="13:39" hidden="1">
      <c r="M1928" s="141">
        <v>181818</v>
      </c>
      <c r="N1928" s="223">
        <v>467857</v>
      </c>
      <c r="O1928" s="142" t="s">
        <v>244</v>
      </c>
      <c r="P1928" s="142" t="s">
        <v>245</v>
      </c>
      <c r="Q1928" s="143" t="s">
        <v>551</v>
      </c>
      <c r="R1928" s="142" t="s">
        <v>379</v>
      </c>
      <c r="S1928" s="142" t="s">
        <v>801</v>
      </c>
      <c r="T1928" s="144">
        <v>42169</v>
      </c>
      <c r="U1928" s="172">
        <f t="shared" si="102"/>
        <v>2015</v>
      </c>
      <c r="V1928" s="172">
        <f t="shared" si="103"/>
        <v>6</v>
      </c>
      <c r="W1928" s="97" t="s">
        <v>464</v>
      </c>
      <c r="X1928" t="s">
        <v>892</v>
      </c>
      <c r="Y1928" s="41">
        <v>1</v>
      </c>
      <c r="Z1928" s="13"/>
      <c r="AA1928" s="13">
        <f t="shared" si="101"/>
        <v>181818</v>
      </c>
      <c r="AE1928" s="42"/>
      <c r="AL1928" s="94" t="s">
        <v>819</v>
      </c>
      <c r="AM1928" s="86">
        <v>546921</v>
      </c>
    </row>
    <row r="1929" spans="13:39" hidden="1">
      <c r="M1929" s="141">
        <v>181819</v>
      </c>
      <c r="N1929" s="222">
        <v>375079</v>
      </c>
      <c r="O1929" s="142" t="s">
        <v>244</v>
      </c>
      <c r="P1929" s="142" t="s">
        <v>245</v>
      </c>
      <c r="Q1929" s="143" t="s">
        <v>571</v>
      </c>
      <c r="R1929" s="142" t="s">
        <v>379</v>
      </c>
      <c r="S1929" s="142" t="s">
        <v>801</v>
      </c>
      <c r="T1929" s="144">
        <v>42169</v>
      </c>
      <c r="U1929" s="172">
        <f t="shared" si="102"/>
        <v>2015</v>
      </c>
      <c r="V1929" s="172">
        <f t="shared" si="103"/>
        <v>6</v>
      </c>
      <c r="W1929" s="97" t="s">
        <v>464</v>
      </c>
      <c r="X1929" t="s">
        <v>892</v>
      </c>
      <c r="Y1929" s="41">
        <v>1</v>
      </c>
      <c r="Z1929" s="13"/>
      <c r="AA1929" s="13">
        <f t="shared" si="101"/>
        <v>181819</v>
      </c>
      <c r="AE1929" s="42"/>
      <c r="AL1929" s="94" t="s">
        <v>819</v>
      </c>
      <c r="AM1929" s="86">
        <v>546921</v>
      </c>
    </row>
    <row r="1930" spans="13:39" hidden="1">
      <c r="M1930" s="141">
        <v>182000</v>
      </c>
      <c r="N1930" s="223">
        <v>321858</v>
      </c>
      <c r="O1930" s="142" t="s">
        <v>244</v>
      </c>
      <c r="P1930" s="142" t="s">
        <v>245</v>
      </c>
      <c r="Q1930" s="145">
        <v>37</v>
      </c>
      <c r="R1930" s="142" t="s">
        <v>379</v>
      </c>
      <c r="S1930" s="142" t="s">
        <v>801</v>
      </c>
      <c r="T1930" s="144">
        <v>41987</v>
      </c>
      <c r="U1930" s="172">
        <f t="shared" si="102"/>
        <v>2014</v>
      </c>
      <c r="V1930" s="172">
        <f t="shared" si="103"/>
        <v>12</v>
      </c>
      <c r="W1930" s="97" t="s">
        <v>586</v>
      </c>
      <c r="X1930" t="s">
        <v>892</v>
      </c>
      <c r="Y1930" s="41">
        <v>1</v>
      </c>
      <c r="Z1930" s="13"/>
      <c r="AA1930" s="13">
        <f t="shared" si="101"/>
        <v>182000</v>
      </c>
      <c r="AE1930" s="42"/>
      <c r="AL1930" s="94" t="s">
        <v>819</v>
      </c>
      <c r="AM1930" s="86">
        <v>546921</v>
      </c>
    </row>
    <row r="1931" spans="13:39" hidden="1">
      <c r="M1931" s="141">
        <v>183142</v>
      </c>
      <c r="N1931" s="223">
        <v>321858</v>
      </c>
      <c r="O1931" s="142" t="s">
        <v>244</v>
      </c>
      <c r="P1931" s="142" t="s">
        <v>245</v>
      </c>
      <c r="Q1931" s="145">
        <v>12</v>
      </c>
      <c r="R1931" s="142" t="s">
        <v>379</v>
      </c>
      <c r="S1931" s="142" t="s">
        <v>801</v>
      </c>
      <c r="T1931" s="144">
        <v>41987</v>
      </c>
      <c r="U1931" s="172">
        <f t="shared" si="102"/>
        <v>2014</v>
      </c>
      <c r="V1931" s="172">
        <f t="shared" si="103"/>
        <v>12</v>
      </c>
      <c r="W1931" s="97" t="s">
        <v>586</v>
      </c>
      <c r="X1931" t="s">
        <v>892</v>
      </c>
      <c r="Y1931" s="41">
        <v>1</v>
      </c>
      <c r="Z1931" s="13"/>
      <c r="AA1931" s="13">
        <f t="shared" si="101"/>
        <v>183142</v>
      </c>
      <c r="AE1931" s="42"/>
      <c r="AL1931" s="94" t="s">
        <v>819</v>
      </c>
      <c r="AM1931" s="86">
        <v>546921</v>
      </c>
    </row>
    <row r="1932" spans="13:39" hidden="1">
      <c r="M1932" s="141">
        <v>184000</v>
      </c>
      <c r="N1932" s="223">
        <v>394611</v>
      </c>
      <c r="O1932" s="142" t="s">
        <v>244</v>
      </c>
      <c r="P1932" s="142" t="s">
        <v>245</v>
      </c>
      <c r="Q1932" s="143" t="s">
        <v>538</v>
      </c>
      <c r="R1932" s="142" t="s">
        <v>379</v>
      </c>
      <c r="S1932" s="142" t="s">
        <v>801</v>
      </c>
      <c r="T1932" s="144">
        <v>42169</v>
      </c>
      <c r="U1932" s="172">
        <f t="shared" si="102"/>
        <v>2015</v>
      </c>
      <c r="V1932" s="172">
        <f t="shared" si="103"/>
        <v>6</v>
      </c>
      <c r="W1932" s="97" t="s">
        <v>464</v>
      </c>
      <c r="X1932" t="s">
        <v>892</v>
      </c>
      <c r="Y1932" s="41">
        <v>1</v>
      </c>
      <c r="Z1932" s="13"/>
      <c r="AA1932" s="13">
        <f t="shared" si="101"/>
        <v>184000</v>
      </c>
      <c r="AE1932" s="42"/>
      <c r="AL1932" s="94" t="s">
        <v>819</v>
      </c>
      <c r="AM1932" s="86">
        <v>546921</v>
      </c>
    </row>
    <row r="1933" spans="13:39" hidden="1">
      <c r="M1933" s="141">
        <v>185000</v>
      </c>
      <c r="N1933" s="223">
        <v>422689</v>
      </c>
      <c r="O1933" s="142" t="s">
        <v>244</v>
      </c>
      <c r="P1933" s="142" t="s">
        <v>245</v>
      </c>
      <c r="Q1933" s="143" t="s">
        <v>469</v>
      </c>
      <c r="R1933" s="142" t="s">
        <v>379</v>
      </c>
      <c r="S1933" s="142" t="s">
        <v>801</v>
      </c>
      <c r="T1933" s="144">
        <v>42169</v>
      </c>
      <c r="U1933" s="172">
        <f t="shared" si="102"/>
        <v>2015</v>
      </c>
      <c r="V1933" s="172">
        <f t="shared" si="103"/>
        <v>6</v>
      </c>
      <c r="W1933" s="97" t="s">
        <v>464</v>
      </c>
      <c r="X1933" t="s">
        <v>892</v>
      </c>
      <c r="Y1933" s="41">
        <v>1</v>
      </c>
      <c r="Z1933" s="13"/>
      <c r="AA1933" s="13">
        <f t="shared" si="101"/>
        <v>185000</v>
      </c>
      <c r="AE1933" s="42"/>
      <c r="AL1933" s="94" t="s">
        <v>819</v>
      </c>
      <c r="AM1933" s="86">
        <v>546921</v>
      </c>
    </row>
    <row r="1934" spans="13:39" hidden="1">
      <c r="M1934" s="141">
        <v>185000</v>
      </c>
      <c r="N1934" s="223">
        <v>518339</v>
      </c>
      <c r="O1934" s="142" t="s">
        <v>244</v>
      </c>
      <c r="P1934" s="142" t="s">
        <v>245</v>
      </c>
      <c r="Q1934" s="145">
        <v>503</v>
      </c>
      <c r="R1934" s="142" t="s">
        <v>379</v>
      </c>
      <c r="S1934" s="142" t="s">
        <v>801</v>
      </c>
      <c r="T1934" s="144">
        <v>42722</v>
      </c>
      <c r="U1934" s="172">
        <f t="shared" si="102"/>
        <v>2016</v>
      </c>
      <c r="V1934" s="172">
        <f t="shared" si="103"/>
        <v>12</v>
      </c>
      <c r="W1934" s="97" t="s">
        <v>386</v>
      </c>
      <c r="X1934" t="s">
        <v>892</v>
      </c>
      <c r="Y1934">
        <v>1</v>
      </c>
      <c r="Z1934" s="13"/>
      <c r="AA1934" s="13">
        <f t="shared" si="101"/>
        <v>185000</v>
      </c>
      <c r="AE1934" s="42"/>
      <c r="AL1934" s="94" t="s">
        <v>819</v>
      </c>
      <c r="AM1934" s="86">
        <v>546921</v>
      </c>
    </row>
    <row r="1935" spans="13:39" hidden="1">
      <c r="M1935" s="141">
        <v>185520</v>
      </c>
      <c r="N1935" s="223">
        <v>491890</v>
      </c>
      <c r="O1935" s="142" t="s">
        <v>244</v>
      </c>
      <c r="P1935" s="142" t="s">
        <v>245</v>
      </c>
      <c r="Q1935" s="145">
        <v>176</v>
      </c>
      <c r="R1935" s="142" t="s">
        <v>379</v>
      </c>
      <c r="S1935" s="142" t="s">
        <v>801</v>
      </c>
      <c r="T1935" s="144">
        <v>42169</v>
      </c>
      <c r="U1935" s="172">
        <f t="shared" si="102"/>
        <v>2015</v>
      </c>
      <c r="V1935" s="172">
        <f t="shared" si="103"/>
        <v>6</v>
      </c>
      <c r="W1935" s="97" t="s">
        <v>464</v>
      </c>
      <c r="X1935" t="s">
        <v>892</v>
      </c>
      <c r="Y1935" s="41">
        <v>1</v>
      </c>
      <c r="Z1935" s="13"/>
      <c r="AA1935" s="13">
        <f t="shared" si="101"/>
        <v>185520</v>
      </c>
      <c r="AE1935" s="42"/>
      <c r="AL1935" s="94" t="s">
        <v>819</v>
      </c>
      <c r="AM1935" s="86">
        <v>546921</v>
      </c>
    </row>
    <row r="1936" spans="13:39" hidden="1">
      <c r="M1936" s="141">
        <v>185556</v>
      </c>
      <c r="N1936" s="223">
        <v>519300</v>
      </c>
      <c r="O1936" s="142" t="s">
        <v>244</v>
      </c>
      <c r="P1936" s="142" t="s">
        <v>245</v>
      </c>
      <c r="Q1936" s="145">
        <v>115</v>
      </c>
      <c r="R1936" s="142" t="s">
        <v>379</v>
      </c>
      <c r="S1936" s="142" t="s">
        <v>801</v>
      </c>
      <c r="T1936" s="144">
        <v>42169</v>
      </c>
      <c r="U1936" s="172">
        <f t="shared" si="102"/>
        <v>2015</v>
      </c>
      <c r="V1936" s="172">
        <f t="shared" si="103"/>
        <v>6</v>
      </c>
      <c r="W1936" s="97" t="s">
        <v>464</v>
      </c>
      <c r="X1936" t="s">
        <v>892</v>
      </c>
      <c r="Y1936" s="41">
        <v>1</v>
      </c>
      <c r="Z1936" s="13"/>
      <c r="AA1936" s="13">
        <f t="shared" si="101"/>
        <v>185556</v>
      </c>
      <c r="AE1936" s="42"/>
      <c r="AL1936" s="94" t="s">
        <v>819</v>
      </c>
      <c r="AM1936" s="86">
        <v>546921</v>
      </c>
    </row>
    <row r="1937" spans="13:39" hidden="1">
      <c r="M1937" s="141">
        <v>188000</v>
      </c>
      <c r="N1937" s="223">
        <v>435006</v>
      </c>
      <c r="O1937" s="142" t="s">
        <v>244</v>
      </c>
      <c r="P1937" s="142" t="s">
        <v>245</v>
      </c>
      <c r="Q1937" s="143" t="s">
        <v>403</v>
      </c>
      <c r="R1937" s="142" t="s">
        <v>379</v>
      </c>
      <c r="S1937" s="142" t="s">
        <v>801</v>
      </c>
      <c r="T1937" s="144">
        <v>42722</v>
      </c>
      <c r="U1937" s="172">
        <f t="shared" si="102"/>
        <v>2016</v>
      </c>
      <c r="V1937" s="172">
        <f t="shared" si="103"/>
        <v>12</v>
      </c>
      <c r="W1937" s="97" t="s">
        <v>386</v>
      </c>
      <c r="X1937" t="s">
        <v>892</v>
      </c>
      <c r="Y1937">
        <v>1</v>
      </c>
      <c r="Z1937" s="13"/>
      <c r="AA1937" s="13">
        <f t="shared" si="101"/>
        <v>188000</v>
      </c>
      <c r="AE1937" s="42"/>
      <c r="AL1937" s="94" t="s">
        <v>819</v>
      </c>
      <c r="AM1937" s="86">
        <v>546921</v>
      </c>
    </row>
    <row r="1938" spans="13:39" hidden="1">
      <c r="M1938" s="141">
        <v>189000</v>
      </c>
      <c r="N1938" s="223">
        <v>321858</v>
      </c>
      <c r="O1938" s="142" t="s">
        <v>244</v>
      </c>
      <c r="P1938" s="142" t="s">
        <v>245</v>
      </c>
      <c r="Q1938" s="143" t="s">
        <v>588</v>
      </c>
      <c r="R1938" s="142" t="s">
        <v>379</v>
      </c>
      <c r="S1938" s="142" t="s">
        <v>801</v>
      </c>
      <c r="T1938" s="144">
        <v>41987</v>
      </c>
      <c r="U1938" s="172">
        <f t="shared" si="102"/>
        <v>2014</v>
      </c>
      <c r="V1938" s="172">
        <f t="shared" si="103"/>
        <v>12</v>
      </c>
      <c r="W1938" s="97" t="s">
        <v>586</v>
      </c>
      <c r="X1938" t="s">
        <v>892</v>
      </c>
      <c r="Y1938" s="41">
        <v>1</v>
      </c>
      <c r="Z1938" s="13"/>
      <c r="AA1938" s="13">
        <f t="shared" si="101"/>
        <v>189000</v>
      </c>
      <c r="AE1938" s="42"/>
      <c r="AL1938" s="94" t="s">
        <v>819</v>
      </c>
      <c r="AM1938" s="86">
        <v>546921</v>
      </c>
    </row>
    <row r="1939" spans="13:39" hidden="1">
      <c r="M1939" s="141">
        <v>190000</v>
      </c>
      <c r="N1939" s="223">
        <v>321858</v>
      </c>
      <c r="O1939" s="142" t="s">
        <v>244</v>
      </c>
      <c r="P1939" s="142" t="s">
        <v>245</v>
      </c>
      <c r="Q1939" s="143" t="s">
        <v>593</v>
      </c>
      <c r="R1939" s="142" t="s">
        <v>379</v>
      </c>
      <c r="S1939" s="142" t="s">
        <v>801</v>
      </c>
      <c r="T1939" s="144">
        <v>41987</v>
      </c>
      <c r="U1939" s="172">
        <f t="shared" si="102"/>
        <v>2014</v>
      </c>
      <c r="V1939" s="172">
        <f t="shared" si="103"/>
        <v>12</v>
      </c>
      <c r="W1939" s="97" t="s">
        <v>586</v>
      </c>
      <c r="X1939" t="s">
        <v>892</v>
      </c>
      <c r="Y1939" s="41">
        <v>1</v>
      </c>
      <c r="Z1939" s="13"/>
      <c r="AA1939" s="13">
        <f t="shared" si="101"/>
        <v>190000</v>
      </c>
      <c r="AE1939" s="42"/>
      <c r="AL1939" s="94" t="s">
        <v>819</v>
      </c>
      <c r="AM1939" s="86">
        <v>5470254</v>
      </c>
    </row>
    <row r="1940" spans="13:39" hidden="1">
      <c r="M1940" s="141">
        <v>190002</v>
      </c>
      <c r="N1940" s="223">
        <v>761508</v>
      </c>
      <c r="O1940" s="142" t="s">
        <v>244</v>
      </c>
      <c r="P1940" s="142" t="s">
        <v>245</v>
      </c>
      <c r="Q1940" s="145">
        <v>60</v>
      </c>
      <c r="R1940" s="142" t="s">
        <v>379</v>
      </c>
      <c r="S1940" s="142" t="s">
        <v>801</v>
      </c>
      <c r="T1940" s="144">
        <v>41763</v>
      </c>
      <c r="U1940" s="172">
        <f t="shared" si="102"/>
        <v>2014</v>
      </c>
      <c r="V1940" s="172">
        <f t="shared" si="103"/>
        <v>5</v>
      </c>
      <c r="W1940" s="97" t="s">
        <v>613</v>
      </c>
      <c r="X1940" t="s">
        <v>892</v>
      </c>
      <c r="Y1940" s="41">
        <v>2</v>
      </c>
      <c r="Z1940" s="13"/>
      <c r="AA1940" s="13">
        <f t="shared" si="101"/>
        <v>190002</v>
      </c>
      <c r="AE1940" s="42"/>
      <c r="AL1940" s="88" t="s">
        <v>819</v>
      </c>
      <c r="AM1940" s="86">
        <v>547445</v>
      </c>
    </row>
    <row r="1941" spans="13:39" hidden="1">
      <c r="M1941" s="141">
        <v>190389</v>
      </c>
      <c r="N1941" s="222">
        <v>376532</v>
      </c>
      <c r="O1941" s="142" t="s">
        <v>244</v>
      </c>
      <c r="P1941" s="142" t="s">
        <v>245</v>
      </c>
      <c r="Q1941" s="145">
        <v>40</v>
      </c>
      <c r="R1941" s="142" t="s">
        <v>379</v>
      </c>
      <c r="S1941" s="142" t="s">
        <v>801</v>
      </c>
      <c r="T1941" s="144">
        <v>41987</v>
      </c>
      <c r="U1941" s="172">
        <f t="shared" si="102"/>
        <v>2014</v>
      </c>
      <c r="V1941" s="172">
        <f t="shared" si="103"/>
        <v>12</v>
      </c>
      <c r="W1941" s="97" t="s">
        <v>586</v>
      </c>
      <c r="X1941" t="s">
        <v>892</v>
      </c>
      <c r="Y1941" s="41">
        <v>1</v>
      </c>
      <c r="Z1941" s="13"/>
      <c r="AA1941" s="13">
        <f t="shared" si="101"/>
        <v>190389</v>
      </c>
      <c r="AE1941" s="42"/>
      <c r="AL1941" s="94" t="s">
        <v>819</v>
      </c>
      <c r="AM1941" s="86">
        <v>547490</v>
      </c>
    </row>
    <row r="1942" spans="13:39" hidden="1">
      <c r="M1942" s="141">
        <v>190602</v>
      </c>
      <c r="N1942" s="223">
        <v>763885</v>
      </c>
      <c r="O1942" s="142" t="s">
        <v>244</v>
      </c>
      <c r="P1942" s="142" t="s">
        <v>245</v>
      </c>
      <c r="Q1942" s="145">
        <v>49</v>
      </c>
      <c r="R1942" s="142" t="s">
        <v>379</v>
      </c>
      <c r="S1942" s="142" t="s">
        <v>801</v>
      </c>
      <c r="T1942" s="144">
        <v>41763</v>
      </c>
      <c r="U1942" s="172">
        <f t="shared" si="102"/>
        <v>2014</v>
      </c>
      <c r="V1942" s="172">
        <f t="shared" si="103"/>
        <v>5</v>
      </c>
      <c r="W1942" s="97" t="s">
        <v>613</v>
      </c>
      <c r="X1942" t="s">
        <v>892</v>
      </c>
      <c r="Y1942" s="41">
        <v>2</v>
      </c>
      <c r="Z1942" s="13"/>
      <c r="AA1942" s="13">
        <f t="shared" si="101"/>
        <v>190602</v>
      </c>
      <c r="AE1942" s="42"/>
      <c r="AL1942" s="94" t="s">
        <v>819</v>
      </c>
      <c r="AM1942" s="86">
        <v>547490</v>
      </c>
    </row>
    <row r="1943" spans="13:39" hidden="1">
      <c r="M1943" s="141">
        <v>190858</v>
      </c>
      <c r="N1943" s="223">
        <v>328047</v>
      </c>
      <c r="O1943" s="142" t="s">
        <v>244</v>
      </c>
      <c r="P1943" s="142" t="s">
        <v>245</v>
      </c>
      <c r="Q1943" s="143" t="s">
        <v>601</v>
      </c>
      <c r="R1943" s="142" t="s">
        <v>379</v>
      </c>
      <c r="S1943" s="142" t="s">
        <v>801</v>
      </c>
      <c r="T1943" s="144">
        <v>41987</v>
      </c>
      <c r="U1943" s="172">
        <f t="shared" si="102"/>
        <v>2014</v>
      </c>
      <c r="V1943" s="172">
        <f t="shared" si="103"/>
        <v>12</v>
      </c>
      <c r="W1943" s="97" t="s">
        <v>586</v>
      </c>
      <c r="X1943" t="s">
        <v>892</v>
      </c>
      <c r="Y1943" s="41">
        <v>1</v>
      </c>
      <c r="Z1943" s="13"/>
      <c r="AA1943" s="13">
        <f t="shared" si="101"/>
        <v>190858</v>
      </c>
      <c r="AE1943" s="42"/>
      <c r="AL1943" s="94" t="s">
        <v>819</v>
      </c>
      <c r="AM1943" s="86">
        <v>548061</v>
      </c>
    </row>
    <row r="1944" spans="13:39" hidden="1">
      <c r="M1944" s="141">
        <v>191000</v>
      </c>
      <c r="N1944" s="223">
        <v>321858</v>
      </c>
      <c r="O1944" s="142" t="s">
        <v>244</v>
      </c>
      <c r="P1944" s="142" t="s">
        <v>245</v>
      </c>
      <c r="Q1944" s="143" t="s">
        <v>598</v>
      </c>
      <c r="R1944" s="142" t="s">
        <v>379</v>
      </c>
      <c r="S1944" s="142" t="s">
        <v>801</v>
      </c>
      <c r="T1944" s="144">
        <v>41987</v>
      </c>
      <c r="U1944" s="172">
        <f t="shared" si="102"/>
        <v>2014</v>
      </c>
      <c r="V1944" s="172">
        <f t="shared" si="103"/>
        <v>12</v>
      </c>
      <c r="W1944" s="97" t="s">
        <v>586</v>
      </c>
      <c r="X1944" t="s">
        <v>892</v>
      </c>
      <c r="Y1944" s="41">
        <v>1</v>
      </c>
      <c r="Z1944" s="13"/>
      <c r="AA1944" s="13">
        <f t="shared" si="101"/>
        <v>191000</v>
      </c>
      <c r="AE1944" s="42"/>
      <c r="AL1944" s="94" t="s">
        <v>819</v>
      </c>
      <c r="AM1944" s="86">
        <v>548630</v>
      </c>
    </row>
    <row r="1945" spans="13:39" hidden="1">
      <c r="M1945" s="141">
        <v>191000</v>
      </c>
      <c r="N1945" s="223">
        <v>321858</v>
      </c>
      <c r="O1945" s="142" t="s">
        <v>244</v>
      </c>
      <c r="P1945" s="142" t="s">
        <v>245</v>
      </c>
      <c r="Q1945" s="145">
        <v>31</v>
      </c>
      <c r="R1945" s="142" t="s">
        <v>379</v>
      </c>
      <c r="S1945" s="142" t="s">
        <v>801</v>
      </c>
      <c r="T1945" s="144">
        <v>41987</v>
      </c>
      <c r="U1945" s="172">
        <f t="shared" si="102"/>
        <v>2014</v>
      </c>
      <c r="V1945" s="172">
        <f t="shared" si="103"/>
        <v>12</v>
      </c>
      <c r="W1945" s="97" t="s">
        <v>586</v>
      </c>
      <c r="X1945" t="s">
        <v>892</v>
      </c>
      <c r="Y1945" s="41">
        <v>1</v>
      </c>
      <c r="Z1945" s="13"/>
      <c r="AA1945" s="13">
        <f t="shared" si="101"/>
        <v>191000</v>
      </c>
      <c r="AE1945" s="42"/>
      <c r="AL1945" s="94" t="s">
        <v>819</v>
      </c>
      <c r="AM1945" s="86">
        <v>548630</v>
      </c>
    </row>
    <row r="1946" spans="13:39" hidden="1">
      <c r="M1946" s="141">
        <v>191273</v>
      </c>
      <c r="N1946" s="223">
        <v>450200</v>
      </c>
      <c r="O1946" s="142" t="s">
        <v>244</v>
      </c>
      <c r="P1946" s="142" t="s">
        <v>245</v>
      </c>
      <c r="Q1946" s="145">
        <v>153</v>
      </c>
      <c r="R1946" s="142" t="s">
        <v>379</v>
      </c>
      <c r="S1946" s="142" t="s">
        <v>801</v>
      </c>
      <c r="T1946" s="144">
        <v>41763</v>
      </c>
      <c r="U1946" s="172">
        <f t="shared" si="102"/>
        <v>2014</v>
      </c>
      <c r="V1946" s="172">
        <f t="shared" si="103"/>
        <v>5</v>
      </c>
      <c r="W1946" s="97" t="s">
        <v>613</v>
      </c>
      <c r="X1946" t="s">
        <v>892</v>
      </c>
      <c r="Y1946" s="41">
        <v>1</v>
      </c>
      <c r="Z1946" s="13"/>
      <c r="AA1946" s="13">
        <f t="shared" si="101"/>
        <v>191273</v>
      </c>
      <c r="AE1946" s="42"/>
      <c r="AL1946" s="94" t="s">
        <v>819</v>
      </c>
      <c r="AM1946" s="86">
        <v>548630</v>
      </c>
    </row>
    <row r="1947" spans="13:39" hidden="1">
      <c r="M1947" s="141">
        <v>192526</v>
      </c>
      <c r="N1947" s="223">
        <v>430306</v>
      </c>
      <c r="O1947" s="142" t="s">
        <v>244</v>
      </c>
      <c r="P1947" s="142" t="s">
        <v>245</v>
      </c>
      <c r="Q1947" s="143" t="s">
        <v>389</v>
      </c>
      <c r="R1947" s="142" t="s">
        <v>379</v>
      </c>
      <c r="S1947" s="142" t="s">
        <v>801</v>
      </c>
      <c r="T1947" s="144">
        <v>42722</v>
      </c>
      <c r="U1947" s="172">
        <f t="shared" si="102"/>
        <v>2016</v>
      </c>
      <c r="V1947" s="172">
        <f t="shared" si="103"/>
        <v>12</v>
      </c>
      <c r="W1947" s="97" t="s">
        <v>386</v>
      </c>
      <c r="X1947" t="s">
        <v>892</v>
      </c>
      <c r="Y1947">
        <v>1</v>
      </c>
      <c r="Z1947" s="13"/>
      <c r="AA1947" s="13">
        <f t="shared" si="101"/>
        <v>192526</v>
      </c>
      <c r="AE1947" s="42"/>
      <c r="AL1947" s="94" t="s">
        <v>819</v>
      </c>
      <c r="AM1947" s="86">
        <v>548630</v>
      </c>
    </row>
    <row r="1948" spans="13:39" hidden="1">
      <c r="M1948" s="141">
        <v>192678</v>
      </c>
      <c r="N1948" s="222">
        <v>372638</v>
      </c>
      <c r="O1948" s="142" t="s">
        <v>244</v>
      </c>
      <c r="P1948" s="142" t="s">
        <v>245</v>
      </c>
      <c r="Q1948" s="143" t="s">
        <v>509</v>
      </c>
      <c r="R1948" s="142" t="s">
        <v>379</v>
      </c>
      <c r="S1948" s="142" t="s">
        <v>801</v>
      </c>
      <c r="T1948" s="144">
        <v>42169</v>
      </c>
      <c r="U1948" s="172">
        <f t="shared" si="102"/>
        <v>2015</v>
      </c>
      <c r="V1948" s="172">
        <f t="shared" si="103"/>
        <v>6</v>
      </c>
      <c r="W1948" s="97" t="s">
        <v>464</v>
      </c>
      <c r="X1948" t="s">
        <v>892</v>
      </c>
      <c r="Y1948" s="41">
        <v>1</v>
      </c>
      <c r="Z1948" s="13"/>
      <c r="AA1948" s="13">
        <f t="shared" si="101"/>
        <v>192678</v>
      </c>
      <c r="AE1948" s="42"/>
      <c r="AL1948" s="94" t="s">
        <v>819</v>
      </c>
      <c r="AM1948" s="86">
        <v>548630</v>
      </c>
    </row>
    <row r="1949" spans="13:39" hidden="1">
      <c r="M1949" s="141">
        <v>193000</v>
      </c>
      <c r="N1949" s="223">
        <v>431242</v>
      </c>
      <c r="O1949" s="142" t="s">
        <v>244</v>
      </c>
      <c r="P1949" s="142" t="s">
        <v>245</v>
      </c>
      <c r="Q1949" s="143" t="s">
        <v>431</v>
      </c>
      <c r="R1949" s="142" t="s">
        <v>379</v>
      </c>
      <c r="S1949" s="142" t="s">
        <v>801</v>
      </c>
      <c r="T1949" s="144">
        <v>42722</v>
      </c>
      <c r="U1949" s="172">
        <f t="shared" si="102"/>
        <v>2016</v>
      </c>
      <c r="V1949" s="172">
        <f t="shared" si="103"/>
        <v>12</v>
      </c>
      <c r="W1949" s="97" t="s">
        <v>386</v>
      </c>
      <c r="X1949" t="s">
        <v>892</v>
      </c>
      <c r="Y1949">
        <v>1</v>
      </c>
      <c r="Z1949" s="13"/>
      <c r="AA1949" s="13">
        <f t="shared" si="101"/>
        <v>193000</v>
      </c>
      <c r="AE1949" s="42"/>
      <c r="AL1949" s="94" t="s">
        <v>819</v>
      </c>
      <c r="AM1949" s="86">
        <v>548839</v>
      </c>
    </row>
    <row r="1950" spans="13:39" hidden="1">
      <c r="M1950" s="141">
        <v>196446</v>
      </c>
      <c r="N1950" s="222">
        <v>360430</v>
      </c>
      <c r="O1950" s="142" t="s">
        <v>244</v>
      </c>
      <c r="P1950" s="142" t="s">
        <v>245</v>
      </c>
      <c r="Q1950" s="143" t="s">
        <v>505</v>
      </c>
      <c r="R1950" s="142" t="s">
        <v>379</v>
      </c>
      <c r="S1950" s="142" t="s">
        <v>801</v>
      </c>
      <c r="T1950" s="144">
        <v>42169</v>
      </c>
      <c r="U1950" s="172">
        <f t="shared" si="102"/>
        <v>2015</v>
      </c>
      <c r="V1950" s="172">
        <f t="shared" si="103"/>
        <v>6</v>
      </c>
      <c r="W1950" s="97" t="s">
        <v>464</v>
      </c>
      <c r="X1950" t="s">
        <v>892</v>
      </c>
      <c r="Y1950" s="41">
        <v>1</v>
      </c>
      <c r="Z1950" s="13"/>
      <c r="AA1950" s="13">
        <f t="shared" si="101"/>
        <v>196446</v>
      </c>
      <c r="AE1950" s="42"/>
      <c r="AL1950" s="94" t="s">
        <v>819</v>
      </c>
      <c r="AM1950" s="86">
        <v>549200</v>
      </c>
    </row>
    <row r="1951" spans="13:39" hidden="1">
      <c r="M1951" s="141">
        <v>198000</v>
      </c>
      <c r="N1951" s="223">
        <v>430306</v>
      </c>
      <c r="O1951" s="142" t="s">
        <v>244</v>
      </c>
      <c r="P1951" s="142" t="s">
        <v>245</v>
      </c>
      <c r="Q1951" s="143" t="s">
        <v>388</v>
      </c>
      <c r="R1951" s="142" t="s">
        <v>379</v>
      </c>
      <c r="S1951" s="142" t="s">
        <v>801</v>
      </c>
      <c r="T1951" s="144">
        <v>42722</v>
      </c>
      <c r="U1951" s="172">
        <f t="shared" si="102"/>
        <v>2016</v>
      </c>
      <c r="V1951" s="172">
        <f t="shared" si="103"/>
        <v>12</v>
      </c>
      <c r="W1951" s="97" t="s">
        <v>386</v>
      </c>
      <c r="X1951" t="s">
        <v>892</v>
      </c>
      <c r="Y1951">
        <v>1</v>
      </c>
      <c r="Z1951" s="13"/>
      <c r="AA1951" s="13">
        <f t="shared" si="101"/>
        <v>198000</v>
      </c>
      <c r="AE1951" s="42"/>
      <c r="AL1951" s="94" t="s">
        <v>819</v>
      </c>
      <c r="AM1951" s="86">
        <v>549200</v>
      </c>
    </row>
    <row r="1952" spans="13:39" hidden="1">
      <c r="M1952" s="141">
        <v>200000</v>
      </c>
      <c r="N1952" s="223">
        <v>317731</v>
      </c>
      <c r="O1952" s="142" t="s">
        <v>244</v>
      </c>
      <c r="P1952" s="142" t="s">
        <v>245</v>
      </c>
      <c r="Q1952" s="145">
        <v>17</v>
      </c>
      <c r="R1952" s="142" t="s">
        <v>379</v>
      </c>
      <c r="S1952" s="142" t="s">
        <v>801</v>
      </c>
      <c r="T1952" s="144">
        <v>41987</v>
      </c>
      <c r="U1952" s="172">
        <f t="shared" si="102"/>
        <v>2014</v>
      </c>
      <c r="V1952" s="172">
        <f t="shared" si="103"/>
        <v>12</v>
      </c>
      <c r="W1952" s="97" t="s">
        <v>586</v>
      </c>
      <c r="X1952" t="s">
        <v>892</v>
      </c>
      <c r="Y1952" s="41">
        <v>1</v>
      </c>
      <c r="Z1952" s="13"/>
      <c r="AA1952" s="13">
        <f t="shared" si="101"/>
        <v>200000</v>
      </c>
      <c r="AE1952" s="42"/>
      <c r="AL1952" s="94" t="s">
        <v>819</v>
      </c>
      <c r="AM1952" s="86">
        <v>549200</v>
      </c>
    </row>
    <row r="1953" spans="13:39" hidden="1">
      <c r="M1953" s="141">
        <v>200000</v>
      </c>
      <c r="N1953" s="223">
        <v>395832</v>
      </c>
      <c r="O1953" s="142" t="s">
        <v>244</v>
      </c>
      <c r="P1953" s="142" t="s">
        <v>245</v>
      </c>
      <c r="Q1953" s="143" t="s">
        <v>525</v>
      </c>
      <c r="R1953" s="142" t="s">
        <v>379</v>
      </c>
      <c r="S1953" s="142" t="s">
        <v>801</v>
      </c>
      <c r="T1953" s="144">
        <v>42169</v>
      </c>
      <c r="U1953" s="172">
        <f t="shared" si="102"/>
        <v>2015</v>
      </c>
      <c r="V1953" s="172">
        <f t="shared" si="103"/>
        <v>6</v>
      </c>
      <c r="W1953" s="97" t="s">
        <v>464</v>
      </c>
      <c r="X1953" t="s">
        <v>892</v>
      </c>
      <c r="Y1953" s="41">
        <v>1</v>
      </c>
      <c r="Z1953" s="13"/>
      <c r="AA1953" s="13">
        <f t="shared" si="101"/>
        <v>200000</v>
      </c>
      <c r="AE1953" s="42"/>
      <c r="AL1953" s="94" t="s">
        <v>819</v>
      </c>
      <c r="AM1953" s="86">
        <v>549769</v>
      </c>
    </row>
    <row r="1954" spans="13:39" hidden="1">
      <c r="M1954" s="141">
        <v>200000</v>
      </c>
      <c r="N1954" s="223">
        <v>400264</v>
      </c>
      <c r="O1954" s="142" t="s">
        <v>244</v>
      </c>
      <c r="P1954" s="142" t="s">
        <v>245</v>
      </c>
      <c r="Q1954" s="145">
        <v>41</v>
      </c>
      <c r="R1954" s="142" t="s">
        <v>379</v>
      </c>
      <c r="S1954" s="142" t="s">
        <v>801</v>
      </c>
      <c r="T1954" s="144">
        <v>41763</v>
      </c>
      <c r="U1954" s="172">
        <f t="shared" si="102"/>
        <v>2014</v>
      </c>
      <c r="V1954" s="172">
        <f t="shared" si="103"/>
        <v>5</v>
      </c>
      <c r="W1954" s="97" t="s">
        <v>613</v>
      </c>
      <c r="X1954" t="s">
        <v>892</v>
      </c>
      <c r="Y1954" s="41">
        <v>1</v>
      </c>
      <c r="Z1954" s="13"/>
      <c r="AA1954" s="13">
        <f t="shared" si="101"/>
        <v>200000</v>
      </c>
      <c r="AE1954" s="42"/>
      <c r="AL1954" s="94" t="s">
        <v>819</v>
      </c>
      <c r="AM1954" s="86">
        <v>549769</v>
      </c>
    </row>
    <row r="1955" spans="13:39" hidden="1">
      <c r="M1955" s="141">
        <v>200002</v>
      </c>
      <c r="N1955" s="222">
        <v>375079</v>
      </c>
      <c r="O1955" s="142" t="s">
        <v>244</v>
      </c>
      <c r="P1955" s="142" t="s">
        <v>245</v>
      </c>
      <c r="Q1955" s="143" t="s">
        <v>561</v>
      </c>
      <c r="R1955" s="142" t="s">
        <v>379</v>
      </c>
      <c r="S1955" s="142" t="s">
        <v>801</v>
      </c>
      <c r="T1955" s="144">
        <v>42169</v>
      </c>
      <c r="U1955" s="172">
        <f t="shared" si="102"/>
        <v>2015</v>
      </c>
      <c r="V1955" s="172">
        <f t="shared" si="103"/>
        <v>6</v>
      </c>
      <c r="W1955" s="97" t="s">
        <v>464</v>
      </c>
      <c r="X1955" t="s">
        <v>892</v>
      </c>
      <c r="Y1955" s="41">
        <v>1</v>
      </c>
      <c r="Z1955" s="13"/>
      <c r="AA1955" s="13">
        <f t="shared" si="101"/>
        <v>200002</v>
      </c>
      <c r="AE1955" s="42"/>
      <c r="AL1955" s="94" t="s">
        <v>819</v>
      </c>
      <c r="AM1955" s="86">
        <v>549769</v>
      </c>
    </row>
    <row r="1956" spans="13:39" hidden="1">
      <c r="M1956" s="141">
        <v>200501</v>
      </c>
      <c r="N1956" s="223">
        <v>416411</v>
      </c>
      <c r="O1956" s="142" t="s">
        <v>244</v>
      </c>
      <c r="P1956" s="142" t="s">
        <v>245</v>
      </c>
      <c r="Q1956" s="143" t="s">
        <v>392</v>
      </c>
      <c r="R1956" s="142" t="s">
        <v>379</v>
      </c>
      <c r="S1956" s="142" t="s">
        <v>801</v>
      </c>
      <c r="T1956" s="144">
        <v>42722</v>
      </c>
      <c r="U1956" s="172">
        <f t="shared" si="102"/>
        <v>2016</v>
      </c>
      <c r="V1956" s="172">
        <f t="shared" si="103"/>
        <v>12</v>
      </c>
      <c r="W1956" s="97" t="s">
        <v>386</v>
      </c>
      <c r="X1956" t="s">
        <v>892</v>
      </c>
      <c r="Y1956">
        <v>1</v>
      </c>
      <c r="Z1956" s="13"/>
      <c r="AA1956" s="13">
        <f t="shared" si="101"/>
        <v>200501</v>
      </c>
      <c r="AE1956" s="42"/>
      <c r="AL1956" s="94" t="s">
        <v>819</v>
      </c>
      <c r="AM1956" s="86">
        <v>550338</v>
      </c>
    </row>
    <row r="1957" spans="13:39" hidden="1">
      <c r="M1957" s="141">
        <v>201234</v>
      </c>
      <c r="N1957" s="223">
        <v>518440</v>
      </c>
      <c r="O1957" s="142" t="s">
        <v>244</v>
      </c>
      <c r="P1957" s="142" t="s">
        <v>245</v>
      </c>
      <c r="Q1957" s="145">
        <v>184</v>
      </c>
      <c r="R1957" s="142" t="s">
        <v>379</v>
      </c>
      <c r="S1957" s="142" t="s">
        <v>801</v>
      </c>
      <c r="T1957" s="144">
        <v>42722</v>
      </c>
      <c r="U1957" s="172">
        <f t="shared" si="102"/>
        <v>2016</v>
      </c>
      <c r="V1957" s="172">
        <f t="shared" si="103"/>
        <v>12</v>
      </c>
      <c r="W1957" s="97" t="s">
        <v>386</v>
      </c>
      <c r="X1957" t="s">
        <v>892</v>
      </c>
      <c r="Y1957">
        <v>1</v>
      </c>
      <c r="Z1957" s="13"/>
      <c r="AA1957" s="13">
        <f t="shared" si="101"/>
        <v>201234</v>
      </c>
      <c r="AE1957" s="42"/>
      <c r="AL1957" s="94" t="s">
        <v>819</v>
      </c>
      <c r="AM1957" s="86">
        <v>550338</v>
      </c>
    </row>
    <row r="1958" spans="13:39" hidden="1">
      <c r="M1958" s="141">
        <v>201300</v>
      </c>
      <c r="N1958" s="223">
        <v>720480</v>
      </c>
      <c r="O1958" s="142" t="s">
        <v>244</v>
      </c>
      <c r="P1958" s="142" t="s">
        <v>245</v>
      </c>
      <c r="Q1958" s="143" t="s">
        <v>444</v>
      </c>
      <c r="R1958" s="142" t="s">
        <v>379</v>
      </c>
      <c r="S1958" s="142" t="s">
        <v>801</v>
      </c>
      <c r="T1958" s="144">
        <v>42498</v>
      </c>
      <c r="U1958" s="172">
        <f t="shared" si="102"/>
        <v>2016</v>
      </c>
      <c r="V1958" s="172">
        <f t="shared" si="103"/>
        <v>5</v>
      </c>
      <c r="W1958" s="97" t="s">
        <v>445</v>
      </c>
      <c r="X1958" t="s">
        <v>892</v>
      </c>
      <c r="Y1958">
        <v>1</v>
      </c>
      <c r="Z1958" s="13"/>
      <c r="AA1958" s="13">
        <f t="shared" si="101"/>
        <v>201300</v>
      </c>
      <c r="AE1958" s="42"/>
      <c r="AL1958" s="94" t="s">
        <v>819</v>
      </c>
      <c r="AM1958" s="86">
        <v>550338</v>
      </c>
    </row>
    <row r="1959" spans="13:39" hidden="1">
      <c r="M1959" s="141">
        <v>201721</v>
      </c>
      <c r="N1959" s="223">
        <v>433582</v>
      </c>
      <c r="O1959" s="142" t="s">
        <v>244</v>
      </c>
      <c r="P1959" s="142" t="s">
        <v>245</v>
      </c>
      <c r="Q1959" s="143" t="s">
        <v>397</v>
      </c>
      <c r="R1959" s="142" t="s">
        <v>379</v>
      </c>
      <c r="S1959" s="142" t="s">
        <v>801</v>
      </c>
      <c r="T1959" s="144">
        <v>42722</v>
      </c>
      <c r="U1959" s="172">
        <f t="shared" si="102"/>
        <v>2016</v>
      </c>
      <c r="V1959" s="172">
        <f t="shared" si="103"/>
        <v>12</v>
      </c>
      <c r="W1959" s="97" t="s">
        <v>386</v>
      </c>
      <c r="X1959" t="s">
        <v>892</v>
      </c>
      <c r="Y1959">
        <v>1</v>
      </c>
      <c r="Z1959" s="13"/>
      <c r="AA1959" s="13">
        <f t="shared" si="101"/>
        <v>201721</v>
      </c>
      <c r="AE1959" s="42"/>
      <c r="AL1959" s="94" t="s">
        <v>819</v>
      </c>
      <c r="AM1959" s="86">
        <v>550338</v>
      </c>
    </row>
    <row r="1960" spans="13:39" hidden="1">
      <c r="M1960" s="141">
        <v>201770</v>
      </c>
      <c r="N1960" s="223">
        <v>440580</v>
      </c>
      <c r="O1960" s="142" t="s">
        <v>244</v>
      </c>
      <c r="P1960" s="142" t="s">
        <v>245</v>
      </c>
      <c r="Q1960" s="145">
        <v>63</v>
      </c>
      <c r="R1960" s="142" t="s">
        <v>379</v>
      </c>
      <c r="S1960" s="142" t="s">
        <v>801</v>
      </c>
      <c r="T1960" s="144">
        <v>41763</v>
      </c>
      <c r="U1960" s="172">
        <f t="shared" si="102"/>
        <v>2014</v>
      </c>
      <c r="V1960" s="172">
        <f t="shared" si="103"/>
        <v>5</v>
      </c>
      <c r="W1960" s="97" t="s">
        <v>613</v>
      </c>
      <c r="X1960" t="s">
        <v>892</v>
      </c>
      <c r="Y1960" s="41">
        <v>1</v>
      </c>
      <c r="Z1960" s="13"/>
      <c r="AA1960" s="13">
        <f t="shared" si="101"/>
        <v>201770</v>
      </c>
      <c r="AE1960" s="42"/>
      <c r="AL1960" s="94" t="s">
        <v>819</v>
      </c>
      <c r="AM1960" s="86">
        <v>550338</v>
      </c>
    </row>
    <row r="1961" spans="13:39" hidden="1">
      <c r="M1961" s="141">
        <v>202000</v>
      </c>
      <c r="N1961" s="223">
        <v>512915</v>
      </c>
      <c r="O1961" s="142" t="s">
        <v>244</v>
      </c>
      <c r="P1961" s="142" t="s">
        <v>245</v>
      </c>
      <c r="Q1961" s="145">
        <v>543</v>
      </c>
      <c r="R1961" s="142" t="s">
        <v>379</v>
      </c>
      <c r="S1961" s="142" t="s">
        <v>801</v>
      </c>
      <c r="T1961" s="144">
        <v>42722</v>
      </c>
      <c r="U1961" s="172">
        <f t="shared" si="102"/>
        <v>2016</v>
      </c>
      <c r="V1961" s="172">
        <f t="shared" si="103"/>
        <v>12</v>
      </c>
      <c r="W1961" s="97" t="s">
        <v>386</v>
      </c>
      <c r="X1961" t="s">
        <v>892</v>
      </c>
      <c r="Y1961">
        <v>1</v>
      </c>
      <c r="Z1961" s="13"/>
      <c r="AA1961" s="13">
        <f t="shared" si="101"/>
        <v>202000</v>
      </c>
      <c r="AE1961" s="42"/>
      <c r="AL1961" s="94" t="s">
        <v>819</v>
      </c>
      <c r="AM1961" s="86">
        <v>550338</v>
      </c>
    </row>
    <row r="1962" spans="13:39" hidden="1">
      <c r="M1962" s="141">
        <v>202000</v>
      </c>
      <c r="N1962" s="223">
        <v>620600</v>
      </c>
      <c r="O1962" s="142" t="s">
        <v>244</v>
      </c>
      <c r="P1962" s="142" t="s">
        <v>245</v>
      </c>
      <c r="Q1962" s="145">
        <v>129</v>
      </c>
      <c r="R1962" s="142" t="s">
        <v>379</v>
      </c>
      <c r="S1962" s="142" t="s">
        <v>801</v>
      </c>
      <c r="T1962" s="144">
        <v>42169</v>
      </c>
      <c r="U1962" s="172">
        <f t="shared" si="102"/>
        <v>2015</v>
      </c>
      <c r="V1962" s="172">
        <f t="shared" si="103"/>
        <v>6</v>
      </c>
      <c r="W1962" s="97" t="s">
        <v>464</v>
      </c>
      <c r="X1962" t="s">
        <v>892</v>
      </c>
      <c r="Y1962" s="41">
        <v>1</v>
      </c>
      <c r="Z1962" s="13"/>
      <c r="AA1962" s="13">
        <f t="shared" si="101"/>
        <v>202000</v>
      </c>
      <c r="AE1962" s="42"/>
      <c r="AL1962" s="94" t="s">
        <v>819</v>
      </c>
      <c r="AM1962" s="86">
        <v>550338</v>
      </c>
    </row>
    <row r="1963" spans="13:39" hidden="1">
      <c r="M1963" s="141">
        <v>202001</v>
      </c>
      <c r="N1963" s="223">
        <v>435006</v>
      </c>
      <c r="O1963" s="142" t="s">
        <v>244</v>
      </c>
      <c r="P1963" s="142" t="s">
        <v>245</v>
      </c>
      <c r="Q1963" s="143" t="s">
        <v>401</v>
      </c>
      <c r="R1963" s="142" t="s">
        <v>379</v>
      </c>
      <c r="S1963" s="142" t="s">
        <v>801</v>
      </c>
      <c r="T1963" s="144">
        <v>42722</v>
      </c>
      <c r="U1963" s="172">
        <f t="shared" si="102"/>
        <v>2016</v>
      </c>
      <c r="V1963" s="172">
        <f t="shared" si="103"/>
        <v>12</v>
      </c>
      <c r="W1963" s="97" t="s">
        <v>386</v>
      </c>
      <c r="X1963" t="s">
        <v>892</v>
      </c>
      <c r="Y1963">
        <v>1</v>
      </c>
      <c r="Z1963" s="13"/>
      <c r="AA1963" s="13">
        <f t="shared" si="101"/>
        <v>202001</v>
      </c>
      <c r="AE1963" s="42"/>
      <c r="AL1963" s="94" t="s">
        <v>819</v>
      </c>
      <c r="AM1963" s="86">
        <v>550338</v>
      </c>
    </row>
    <row r="1964" spans="13:39" hidden="1">
      <c r="M1964" s="141">
        <v>202202</v>
      </c>
      <c r="N1964" s="223">
        <v>518440</v>
      </c>
      <c r="O1964" s="142" t="s">
        <v>244</v>
      </c>
      <c r="P1964" s="142" t="s">
        <v>245</v>
      </c>
      <c r="Q1964" s="145">
        <v>505</v>
      </c>
      <c r="R1964" s="142" t="s">
        <v>379</v>
      </c>
      <c r="S1964" s="142" t="s">
        <v>801</v>
      </c>
      <c r="T1964" s="144">
        <v>42722</v>
      </c>
      <c r="U1964" s="172">
        <f t="shared" si="102"/>
        <v>2016</v>
      </c>
      <c r="V1964" s="172">
        <f t="shared" si="103"/>
        <v>12</v>
      </c>
      <c r="W1964" s="97" t="s">
        <v>386</v>
      </c>
      <c r="X1964" t="s">
        <v>892</v>
      </c>
      <c r="Y1964">
        <v>1</v>
      </c>
      <c r="Z1964" s="13"/>
      <c r="AA1964" s="13">
        <f t="shared" si="101"/>
        <v>202202</v>
      </c>
      <c r="AE1964" s="42"/>
      <c r="AL1964" s="94" t="s">
        <v>819</v>
      </c>
      <c r="AM1964" s="86">
        <v>550338</v>
      </c>
    </row>
    <row r="1965" spans="13:39" hidden="1">
      <c r="M1965" s="141">
        <v>203000</v>
      </c>
      <c r="N1965" s="223">
        <v>442958</v>
      </c>
      <c r="O1965" s="142" t="s">
        <v>244</v>
      </c>
      <c r="P1965" s="142" t="s">
        <v>245</v>
      </c>
      <c r="Q1965" s="145">
        <v>131</v>
      </c>
      <c r="R1965" s="142" t="s">
        <v>379</v>
      </c>
      <c r="S1965" s="142" t="s">
        <v>801</v>
      </c>
      <c r="T1965" s="144">
        <v>41763</v>
      </c>
      <c r="U1965" s="172">
        <f t="shared" si="102"/>
        <v>2014</v>
      </c>
      <c r="V1965" s="172">
        <f t="shared" si="103"/>
        <v>5</v>
      </c>
      <c r="W1965" s="97" t="s">
        <v>613</v>
      </c>
      <c r="X1965" t="s">
        <v>892</v>
      </c>
      <c r="Y1965" s="41">
        <v>1</v>
      </c>
      <c r="Z1965" s="13"/>
      <c r="AA1965" s="13">
        <f t="shared" si="101"/>
        <v>203000</v>
      </c>
      <c r="AE1965" s="42"/>
      <c r="AL1965" s="94" t="s">
        <v>819</v>
      </c>
      <c r="AM1965" s="86">
        <v>550908</v>
      </c>
    </row>
    <row r="1966" spans="13:39" hidden="1">
      <c r="M1966" s="141">
        <v>205000</v>
      </c>
      <c r="N1966" s="223">
        <v>450200</v>
      </c>
      <c r="O1966" s="142" t="s">
        <v>244</v>
      </c>
      <c r="P1966" s="142" t="s">
        <v>245</v>
      </c>
      <c r="Q1966" s="145">
        <v>154</v>
      </c>
      <c r="R1966" s="142" t="s">
        <v>379</v>
      </c>
      <c r="S1966" s="142" t="s">
        <v>801</v>
      </c>
      <c r="T1966" s="144">
        <v>41763</v>
      </c>
      <c r="U1966" s="172">
        <f t="shared" si="102"/>
        <v>2014</v>
      </c>
      <c r="V1966" s="172">
        <f t="shared" si="103"/>
        <v>5</v>
      </c>
      <c r="W1966" s="97" t="s">
        <v>613</v>
      </c>
      <c r="X1966" t="s">
        <v>892</v>
      </c>
      <c r="Y1966" s="41">
        <v>1</v>
      </c>
      <c r="Z1966" s="13"/>
      <c r="AA1966" s="13">
        <f t="shared" si="101"/>
        <v>205000</v>
      </c>
      <c r="AE1966" s="42"/>
      <c r="AL1966" s="94" t="s">
        <v>819</v>
      </c>
      <c r="AM1966" s="86">
        <v>550908</v>
      </c>
    </row>
    <row r="1967" spans="13:39" hidden="1">
      <c r="M1967" s="141">
        <v>206667</v>
      </c>
      <c r="N1967" s="223">
        <v>431242</v>
      </c>
      <c r="O1967" s="142" t="s">
        <v>244</v>
      </c>
      <c r="P1967" s="142" t="s">
        <v>245</v>
      </c>
      <c r="Q1967" s="143" t="s">
        <v>432</v>
      </c>
      <c r="R1967" s="142" t="s">
        <v>379</v>
      </c>
      <c r="S1967" s="142" t="s">
        <v>801</v>
      </c>
      <c r="T1967" s="144">
        <v>42722</v>
      </c>
      <c r="U1967" s="172">
        <f t="shared" si="102"/>
        <v>2016</v>
      </c>
      <c r="V1967" s="172">
        <f t="shared" si="103"/>
        <v>12</v>
      </c>
      <c r="W1967" s="97" t="s">
        <v>386</v>
      </c>
      <c r="X1967" t="s">
        <v>892</v>
      </c>
      <c r="Y1967">
        <v>1</v>
      </c>
      <c r="Z1967" s="13"/>
      <c r="AA1967" s="13">
        <f t="shared" si="101"/>
        <v>206667</v>
      </c>
      <c r="AE1967" s="42"/>
      <c r="AL1967" s="94" t="s">
        <v>819</v>
      </c>
      <c r="AM1967" s="86">
        <v>550908</v>
      </c>
    </row>
    <row r="1968" spans="13:39" hidden="1">
      <c r="M1968" s="141">
        <v>207500</v>
      </c>
      <c r="N1968" s="223">
        <v>831223</v>
      </c>
      <c r="O1968" s="142" t="s">
        <v>244</v>
      </c>
      <c r="P1968" s="142" t="s">
        <v>245</v>
      </c>
      <c r="Q1968" s="145">
        <v>33</v>
      </c>
      <c r="R1968" s="142" t="s">
        <v>379</v>
      </c>
      <c r="S1968" s="142" t="s">
        <v>801</v>
      </c>
      <c r="T1968" s="144">
        <v>41763</v>
      </c>
      <c r="U1968" s="172">
        <f t="shared" si="102"/>
        <v>2014</v>
      </c>
      <c r="V1968" s="172">
        <f t="shared" si="103"/>
        <v>5</v>
      </c>
      <c r="W1968" s="97" t="s">
        <v>613</v>
      </c>
      <c r="X1968" t="s">
        <v>892</v>
      </c>
      <c r="Y1968" s="41">
        <v>2</v>
      </c>
      <c r="Z1968" s="13"/>
      <c r="AA1968" s="13">
        <f t="shared" si="101"/>
        <v>207500</v>
      </c>
      <c r="AE1968" s="42"/>
      <c r="AL1968" s="94" t="s">
        <v>819</v>
      </c>
      <c r="AM1968" s="86">
        <v>550908</v>
      </c>
    </row>
    <row r="1969" spans="13:39" hidden="1">
      <c r="M1969" s="141">
        <v>207600</v>
      </c>
      <c r="N1969" s="223">
        <v>622825</v>
      </c>
      <c r="O1969" s="142" t="s">
        <v>244</v>
      </c>
      <c r="P1969" s="142" t="s">
        <v>245</v>
      </c>
      <c r="Q1969" s="143" t="s">
        <v>448</v>
      </c>
      <c r="R1969" s="142" t="s">
        <v>379</v>
      </c>
      <c r="S1969" s="142" t="s">
        <v>801</v>
      </c>
      <c r="T1969" s="144">
        <v>42498</v>
      </c>
      <c r="U1969" s="172">
        <f t="shared" si="102"/>
        <v>2016</v>
      </c>
      <c r="V1969" s="172">
        <f t="shared" si="103"/>
        <v>5</v>
      </c>
      <c r="W1969" s="97" t="s">
        <v>445</v>
      </c>
      <c r="X1969" t="s">
        <v>892</v>
      </c>
      <c r="Y1969">
        <v>1</v>
      </c>
      <c r="Z1969" s="13"/>
      <c r="AA1969" s="13">
        <f t="shared" si="101"/>
        <v>207600</v>
      </c>
      <c r="AE1969" s="42"/>
      <c r="AL1969" s="94" t="s">
        <v>819</v>
      </c>
      <c r="AM1969" s="86">
        <v>550908</v>
      </c>
    </row>
    <row r="1970" spans="13:39" hidden="1">
      <c r="M1970" s="141">
        <v>207777</v>
      </c>
      <c r="N1970" s="223">
        <v>539819</v>
      </c>
      <c r="O1970" s="142" t="s">
        <v>244</v>
      </c>
      <c r="P1970" s="142" t="s">
        <v>245</v>
      </c>
      <c r="Q1970" s="143" t="s">
        <v>449</v>
      </c>
      <c r="R1970" s="142" t="s">
        <v>379</v>
      </c>
      <c r="S1970" s="142" t="s">
        <v>801</v>
      </c>
      <c r="T1970" s="144">
        <v>42498</v>
      </c>
      <c r="U1970" s="172">
        <f t="shared" si="102"/>
        <v>2016</v>
      </c>
      <c r="V1970" s="172">
        <f t="shared" si="103"/>
        <v>5</v>
      </c>
      <c r="W1970" s="97" t="s">
        <v>445</v>
      </c>
      <c r="X1970" t="s">
        <v>892</v>
      </c>
      <c r="Y1970">
        <v>1</v>
      </c>
      <c r="Z1970" s="13"/>
      <c r="AA1970" s="13">
        <f t="shared" si="101"/>
        <v>207777</v>
      </c>
      <c r="AE1970" s="42"/>
      <c r="AL1970" s="94" t="s">
        <v>819</v>
      </c>
      <c r="AM1970" s="86">
        <v>551210</v>
      </c>
    </row>
    <row r="1971" spans="13:39" hidden="1">
      <c r="M1971" s="141">
        <v>207777</v>
      </c>
      <c r="N1971" s="223">
        <v>796960</v>
      </c>
      <c r="O1971" s="142" t="s">
        <v>244</v>
      </c>
      <c r="P1971" s="142" t="s">
        <v>245</v>
      </c>
      <c r="Q1971" s="145">
        <v>28</v>
      </c>
      <c r="R1971" s="142" t="s">
        <v>379</v>
      </c>
      <c r="S1971" s="142" t="s">
        <v>801</v>
      </c>
      <c r="T1971" s="144">
        <v>41763</v>
      </c>
      <c r="U1971" s="172">
        <f t="shared" si="102"/>
        <v>2014</v>
      </c>
      <c r="V1971" s="172">
        <f t="shared" si="103"/>
        <v>5</v>
      </c>
      <c r="W1971" s="97" t="s">
        <v>613</v>
      </c>
      <c r="X1971" t="s">
        <v>892</v>
      </c>
      <c r="Y1971" s="41">
        <v>2</v>
      </c>
      <c r="Z1971" s="13"/>
      <c r="AA1971" s="13">
        <f t="shared" si="101"/>
        <v>207777</v>
      </c>
      <c r="AE1971" s="42"/>
      <c r="AL1971" s="94" t="s">
        <v>819</v>
      </c>
      <c r="AM1971" s="86">
        <v>551477</v>
      </c>
    </row>
    <row r="1972" spans="13:39" hidden="1">
      <c r="M1972" s="141">
        <v>208421</v>
      </c>
      <c r="N1972" s="223">
        <v>518440</v>
      </c>
      <c r="O1972" s="142" t="s">
        <v>244</v>
      </c>
      <c r="P1972" s="142" t="s">
        <v>245</v>
      </c>
      <c r="Q1972" s="145">
        <v>506</v>
      </c>
      <c r="R1972" s="142" t="s">
        <v>379</v>
      </c>
      <c r="S1972" s="142" t="s">
        <v>801</v>
      </c>
      <c r="T1972" s="144">
        <v>42722</v>
      </c>
      <c r="U1972" s="172">
        <f t="shared" si="102"/>
        <v>2016</v>
      </c>
      <c r="V1972" s="172">
        <f t="shared" si="103"/>
        <v>12</v>
      </c>
      <c r="W1972" s="97" t="s">
        <v>386</v>
      </c>
      <c r="X1972" t="s">
        <v>892</v>
      </c>
      <c r="Y1972">
        <v>1</v>
      </c>
      <c r="Z1972" s="13"/>
      <c r="AA1972" s="13">
        <f t="shared" si="101"/>
        <v>208421</v>
      </c>
      <c r="AE1972" s="42"/>
      <c r="AL1972" s="94" t="s">
        <v>819</v>
      </c>
      <c r="AM1972" s="86">
        <v>551477</v>
      </c>
    </row>
    <row r="1973" spans="13:39" hidden="1">
      <c r="M1973" s="141">
        <v>209500</v>
      </c>
      <c r="N1973" s="223">
        <v>435211</v>
      </c>
      <c r="O1973" s="142" t="s">
        <v>244</v>
      </c>
      <c r="P1973" s="142" t="s">
        <v>245</v>
      </c>
      <c r="Q1973" s="143" t="s">
        <v>402</v>
      </c>
      <c r="R1973" s="142" t="s">
        <v>379</v>
      </c>
      <c r="S1973" s="142" t="s">
        <v>801</v>
      </c>
      <c r="T1973" s="144">
        <v>42722</v>
      </c>
      <c r="U1973" s="172">
        <f t="shared" si="102"/>
        <v>2016</v>
      </c>
      <c r="V1973" s="172">
        <f t="shared" si="103"/>
        <v>12</v>
      </c>
      <c r="W1973" s="97" t="s">
        <v>386</v>
      </c>
      <c r="X1973" t="s">
        <v>892</v>
      </c>
      <c r="Y1973">
        <v>1</v>
      </c>
      <c r="Z1973" s="13"/>
      <c r="AA1973" s="13">
        <f t="shared" si="101"/>
        <v>209500</v>
      </c>
      <c r="AE1973" s="42"/>
      <c r="AL1973" s="94" t="s">
        <v>819</v>
      </c>
      <c r="AM1973" s="86">
        <v>551781</v>
      </c>
    </row>
    <row r="1974" spans="13:39" hidden="1">
      <c r="M1974" s="141">
        <v>210018</v>
      </c>
      <c r="N1974" s="223">
        <v>481226</v>
      </c>
      <c r="O1974" s="142" t="s">
        <v>244</v>
      </c>
      <c r="P1974" s="142" t="s">
        <v>245</v>
      </c>
      <c r="Q1974" s="143" t="s">
        <v>451</v>
      </c>
      <c r="R1974" s="142" t="s">
        <v>379</v>
      </c>
      <c r="S1974" s="142" t="s">
        <v>801</v>
      </c>
      <c r="T1974" s="144">
        <v>42498</v>
      </c>
      <c r="U1974" s="172">
        <f t="shared" si="102"/>
        <v>2016</v>
      </c>
      <c r="V1974" s="172">
        <f t="shared" si="103"/>
        <v>5</v>
      </c>
      <c r="W1974" s="97" t="s">
        <v>445</v>
      </c>
      <c r="X1974" t="s">
        <v>892</v>
      </c>
      <c r="Y1974">
        <v>1</v>
      </c>
      <c r="Z1974" s="13"/>
      <c r="AA1974" s="13">
        <f t="shared" si="101"/>
        <v>210018</v>
      </c>
      <c r="AE1974" s="42"/>
      <c r="AL1974" s="94" t="s">
        <v>819</v>
      </c>
      <c r="AM1974" s="86">
        <v>552047</v>
      </c>
    </row>
    <row r="1975" spans="13:39" hidden="1">
      <c r="M1975" s="141">
        <v>210820</v>
      </c>
      <c r="N1975" s="223">
        <v>212211</v>
      </c>
      <c r="O1975" s="142" t="s">
        <v>285</v>
      </c>
      <c r="P1975" s="142" t="s">
        <v>245</v>
      </c>
      <c r="Q1975" s="143" t="s">
        <v>621</v>
      </c>
      <c r="R1975" s="142" t="s">
        <v>618</v>
      </c>
      <c r="S1975" s="142" t="s">
        <v>801</v>
      </c>
      <c r="T1975" s="144">
        <v>41276</v>
      </c>
      <c r="U1975" s="172">
        <f t="shared" si="102"/>
        <v>2013</v>
      </c>
      <c r="V1975" s="172">
        <f t="shared" si="103"/>
        <v>1</v>
      </c>
      <c r="W1975" s="97" t="s">
        <v>622</v>
      </c>
      <c r="X1975" t="s">
        <v>894</v>
      </c>
      <c r="Y1975" s="41"/>
      <c r="Z1975" s="13">
        <v>1000</v>
      </c>
      <c r="AA1975" s="13">
        <f t="shared" si="101"/>
        <v>210820</v>
      </c>
      <c r="AE1975" s="42"/>
      <c r="AL1975" s="94" t="s">
        <v>819</v>
      </c>
      <c r="AM1975" s="86">
        <v>552047</v>
      </c>
    </row>
    <row r="1976" spans="13:39" hidden="1">
      <c r="M1976" s="141">
        <v>212000</v>
      </c>
      <c r="N1976" s="223">
        <v>431242</v>
      </c>
      <c r="O1976" s="142" t="s">
        <v>244</v>
      </c>
      <c r="P1976" s="142" t="s">
        <v>245</v>
      </c>
      <c r="Q1976" s="143" t="s">
        <v>430</v>
      </c>
      <c r="R1976" s="142" t="s">
        <v>379</v>
      </c>
      <c r="S1976" s="142" t="s">
        <v>801</v>
      </c>
      <c r="T1976" s="144">
        <v>42722</v>
      </c>
      <c r="U1976" s="172">
        <f t="shared" si="102"/>
        <v>2016</v>
      </c>
      <c r="V1976" s="172">
        <f t="shared" si="103"/>
        <v>12</v>
      </c>
      <c r="W1976" s="97" t="s">
        <v>386</v>
      </c>
      <c r="X1976" t="s">
        <v>892</v>
      </c>
      <c r="Y1976">
        <v>1</v>
      </c>
      <c r="Z1976" s="13"/>
      <c r="AA1976" s="13">
        <f t="shared" si="101"/>
        <v>212000</v>
      </c>
      <c r="AE1976" s="42"/>
      <c r="AL1976" s="94" t="s">
        <v>819</v>
      </c>
      <c r="AM1976" s="86">
        <v>552047</v>
      </c>
    </row>
    <row r="1977" spans="13:39" hidden="1">
      <c r="M1977" s="141">
        <v>213000</v>
      </c>
      <c r="N1977" s="223">
        <v>831223</v>
      </c>
      <c r="O1977" s="142" t="s">
        <v>244</v>
      </c>
      <c r="P1977" s="142" t="s">
        <v>245</v>
      </c>
      <c r="Q1977" s="145">
        <v>32</v>
      </c>
      <c r="R1977" s="142" t="s">
        <v>379</v>
      </c>
      <c r="S1977" s="142" t="s">
        <v>801</v>
      </c>
      <c r="T1977" s="144">
        <v>41763</v>
      </c>
      <c r="U1977" s="172">
        <f t="shared" si="102"/>
        <v>2014</v>
      </c>
      <c r="V1977" s="172">
        <f t="shared" si="103"/>
        <v>5</v>
      </c>
      <c r="W1977" s="97" t="s">
        <v>613</v>
      </c>
      <c r="X1977" t="s">
        <v>892</v>
      </c>
      <c r="Y1977" s="41">
        <v>2</v>
      </c>
      <c r="Z1977" s="13"/>
      <c r="AA1977" s="13">
        <f t="shared" si="101"/>
        <v>213000</v>
      </c>
      <c r="AE1977" s="42"/>
      <c r="AL1977" s="94" t="s">
        <v>819</v>
      </c>
      <c r="AM1977" s="86">
        <v>552047</v>
      </c>
    </row>
    <row r="1978" spans="13:39" hidden="1">
      <c r="M1978" s="141">
        <v>213234</v>
      </c>
      <c r="N1978" s="223">
        <v>423910</v>
      </c>
      <c r="O1978" s="142" t="s">
        <v>244</v>
      </c>
      <c r="P1978" s="142" t="s">
        <v>245</v>
      </c>
      <c r="Q1978" s="143" t="s">
        <v>487</v>
      </c>
      <c r="R1978" s="142" t="s">
        <v>379</v>
      </c>
      <c r="S1978" s="142" t="s">
        <v>801</v>
      </c>
      <c r="T1978" s="144">
        <v>42169</v>
      </c>
      <c r="U1978" s="172">
        <f t="shared" si="102"/>
        <v>2015</v>
      </c>
      <c r="V1978" s="172">
        <f t="shared" si="103"/>
        <v>6</v>
      </c>
      <c r="W1978" s="97" t="s">
        <v>464</v>
      </c>
      <c r="X1978" t="s">
        <v>892</v>
      </c>
      <c r="Y1978" s="41">
        <v>1</v>
      </c>
      <c r="Z1978" s="13"/>
      <c r="AA1978" s="13">
        <f t="shared" si="101"/>
        <v>213234</v>
      </c>
      <c r="AE1978" s="42"/>
      <c r="AL1978" s="94" t="s">
        <v>819</v>
      </c>
      <c r="AM1978" s="86">
        <v>552616</v>
      </c>
    </row>
    <row r="1979" spans="13:39" hidden="1">
      <c r="M1979" s="141">
        <v>214887</v>
      </c>
      <c r="N1979" s="223">
        <v>445411</v>
      </c>
      <c r="O1979" s="142" t="s">
        <v>244</v>
      </c>
      <c r="P1979" s="142" t="s">
        <v>245</v>
      </c>
      <c r="Q1979" s="145">
        <v>143</v>
      </c>
      <c r="R1979" s="142" t="s">
        <v>379</v>
      </c>
      <c r="S1979" s="142" t="s">
        <v>801</v>
      </c>
      <c r="T1979" s="144">
        <v>42169</v>
      </c>
      <c r="U1979" s="172">
        <f t="shared" si="102"/>
        <v>2015</v>
      </c>
      <c r="V1979" s="172">
        <f t="shared" si="103"/>
        <v>6</v>
      </c>
      <c r="W1979" s="97" t="s">
        <v>464</v>
      </c>
      <c r="X1979" t="s">
        <v>892</v>
      </c>
      <c r="Y1979" s="41">
        <v>1</v>
      </c>
      <c r="Z1979" s="13"/>
      <c r="AA1979" s="13">
        <f t="shared" si="101"/>
        <v>214887</v>
      </c>
      <c r="AE1979" s="42"/>
      <c r="AL1979" s="88" t="s">
        <v>819</v>
      </c>
      <c r="AM1979" s="86">
        <v>552620</v>
      </c>
    </row>
    <row r="1980" spans="13:39" hidden="1">
      <c r="M1980" s="141">
        <v>215491</v>
      </c>
      <c r="N1980" s="223">
        <v>445984</v>
      </c>
      <c r="O1980" s="142" t="s">
        <v>244</v>
      </c>
      <c r="P1980" s="142" t="s">
        <v>245</v>
      </c>
      <c r="Q1980" s="145">
        <v>146</v>
      </c>
      <c r="R1980" s="142" t="s">
        <v>379</v>
      </c>
      <c r="S1980" s="142" t="s">
        <v>801</v>
      </c>
      <c r="T1980" s="144">
        <v>41763</v>
      </c>
      <c r="U1980" s="172">
        <f t="shared" si="102"/>
        <v>2014</v>
      </c>
      <c r="V1980" s="172">
        <f t="shared" si="103"/>
        <v>5</v>
      </c>
      <c r="W1980" s="97" t="s">
        <v>613</v>
      </c>
      <c r="X1980" t="s">
        <v>892</v>
      </c>
      <c r="Y1980" s="41">
        <v>1</v>
      </c>
      <c r="Z1980" s="13"/>
      <c r="AA1980" s="13">
        <f t="shared" si="101"/>
        <v>215491</v>
      </c>
      <c r="AE1980" s="42"/>
      <c r="AL1980" s="94" t="s">
        <v>819</v>
      </c>
      <c r="AM1980" s="86">
        <v>553187</v>
      </c>
    </row>
    <row r="1981" spans="13:39" hidden="1">
      <c r="M1981" s="141">
        <v>215500</v>
      </c>
      <c r="N1981" s="223">
        <v>389728</v>
      </c>
      <c r="O1981" s="142" t="s">
        <v>244</v>
      </c>
      <c r="P1981" s="142" t="s">
        <v>245</v>
      </c>
      <c r="Q1981" s="143" t="s">
        <v>519</v>
      </c>
      <c r="R1981" s="142" t="s">
        <v>379</v>
      </c>
      <c r="S1981" s="142" t="s">
        <v>801</v>
      </c>
      <c r="T1981" s="144">
        <v>42169</v>
      </c>
      <c r="U1981" s="172">
        <f t="shared" si="102"/>
        <v>2015</v>
      </c>
      <c r="V1981" s="172">
        <f t="shared" si="103"/>
        <v>6</v>
      </c>
      <c r="W1981" s="97" t="s">
        <v>464</v>
      </c>
      <c r="X1981" t="s">
        <v>892</v>
      </c>
      <c r="Y1981" s="41">
        <v>1</v>
      </c>
      <c r="Z1981" s="13"/>
      <c r="AA1981" s="13">
        <f t="shared" si="101"/>
        <v>215500</v>
      </c>
      <c r="AE1981" s="42"/>
      <c r="AL1981" s="94" t="s">
        <v>819</v>
      </c>
      <c r="AM1981" s="86">
        <v>553187</v>
      </c>
    </row>
    <row r="1982" spans="13:39" hidden="1">
      <c r="M1982" s="141">
        <v>216234</v>
      </c>
      <c r="N1982" s="223">
        <v>331132</v>
      </c>
      <c r="O1982" s="142" t="s">
        <v>244</v>
      </c>
      <c r="P1982" s="142" t="s">
        <v>245</v>
      </c>
      <c r="Q1982" s="143" t="s">
        <v>580</v>
      </c>
      <c r="R1982" s="142" t="s">
        <v>379</v>
      </c>
      <c r="S1982" s="142" t="s">
        <v>801</v>
      </c>
      <c r="T1982" s="144">
        <v>42169</v>
      </c>
      <c r="U1982" s="172">
        <f t="shared" si="102"/>
        <v>2015</v>
      </c>
      <c r="V1982" s="172">
        <f t="shared" si="103"/>
        <v>6</v>
      </c>
      <c r="W1982" s="97" t="s">
        <v>464</v>
      </c>
      <c r="X1982" t="s">
        <v>892</v>
      </c>
      <c r="Y1982" s="41">
        <v>1</v>
      </c>
      <c r="Z1982" s="13"/>
      <c r="AA1982" s="13">
        <f t="shared" si="101"/>
        <v>216234</v>
      </c>
      <c r="AE1982" s="42"/>
      <c r="AL1982" s="94" t="s">
        <v>819</v>
      </c>
      <c r="AM1982" s="86">
        <v>553187</v>
      </c>
    </row>
    <row r="1983" spans="13:39" hidden="1">
      <c r="M1983" s="141">
        <v>218000</v>
      </c>
      <c r="N1983" s="223">
        <v>518339</v>
      </c>
      <c r="O1983" s="142" t="s">
        <v>244</v>
      </c>
      <c r="P1983" s="142" t="s">
        <v>245</v>
      </c>
      <c r="Q1983" s="145">
        <v>282</v>
      </c>
      <c r="R1983" s="142" t="s">
        <v>379</v>
      </c>
      <c r="S1983" s="142" t="s">
        <v>801</v>
      </c>
      <c r="T1983" s="144">
        <v>42722</v>
      </c>
      <c r="U1983" s="172">
        <f t="shared" si="102"/>
        <v>2016</v>
      </c>
      <c r="V1983" s="172">
        <f t="shared" si="103"/>
        <v>12</v>
      </c>
      <c r="W1983" s="97" t="s">
        <v>386</v>
      </c>
      <c r="X1983" t="s">
        <v>892</v>
      </c>
      <c r="Y1983">
        <v>1</v>
      </c>
      <c r="Z1983" s="13"/>
      <c r="AA1983" s="13">
        <f t="shared" si="101"/>
        <v>218000</v>
      </c>
      <c r="AE1983" s="42"/>
      <c r="AL1983" s="94" t="s">
        <v>819</v>
      </c>
      <c r="AM1983" s="86">
        <v>553187</v>
      </c>
    </row>
    <row r="1984" spans="13:39" hidden="1">
      <c r="M1984" s="141">
        <v>219000</v>
      </c>
      <c r="N1984" s="223">
        <v>442958</v>
      </c>
      <c r="O1984" s="142" t="s">
        <v>244</v>
      </c>
      <c r="P1984" s="142" t="s">
        <v>245</v>
      </c>
      <c r="Q1984" s="145">
        <v>130</v>
      </c>
      <c r="R1984" s="142" t="s">
        <v>379</v>
      </c>
      <c r="S1984" s="142" t="s">
        <v>801</v>
      </c>
      <c r="T1984" s="144">
        <v>41763</v>
      </c>
      <c r="U1984" s="172">
        <f t="shared" si="102"/>
        <v>2014</v>
      </c>
      <c r="V1984" s="172">
        <f t="shared" si="103"/>
        <v>5</v>
      </c>
      <c r="W1984" s="97" t="s">
        <v>613</v>
      </c>
      <c r="X1984" t="s">
        <v>892</v>
      </c>
      <c r="Y1984" s="41">
        <v>1</v>
      </c>
      <c r="Z1984" s="13"/>
      <c r="AA1984" s="13">
        <f t="shared" si="101"/>
        <v>219000</v>
      </c>
      <c r="AE1984" s="42"/>
      <c r="AL1984" s="94" t="s">
        <v>819</v>
      </c>
      <c r="AM1984" s="86">
        <v>553187</v>
      </c>
    </row>
    <row r="1985" spans="13:39" hidden="1">
      <c r="M1985" s="141">
        <v>219181</v>
      </c>
      <c r="N1985" s="223">
        <v>518440</v>
      </c>
      <c r="O1985" s="142" t="s">
        <v>244</v>
      </c>
      <c r="P1985" s="142" t="s">
        <v>245</v>
      </c>
      <c r="Q1985" s="145">
        <v>502</v>
      </c>
      <c r="R1985" s="142" t="s">
        <v>379</v>
      </c>
      <c r="S1985" s="142" t="s">
        <v>801</v>
      </c>
      <c r="T1985" s="144">
        <v>42722</v>
      </c>
      <c r="U1985" s="172">
        <f t="shared" si="102"/>
        <v>2016</v>
      </c>
      <c r="V1985" s="172">
        <f t="shared" si="103"/>
        <v>12</v>
      </c>
      <c r="W1985" s="97" t="s">
        <v>386</v>
      </c>
      <c r="X1985" t="s">
        <v>892</v>
      </c>
      <c r="Y1985">
        <v>1</v>
      </c>
      <c r="Z1985" s="13"/>
      <c r="AA1985" s="13">
        <f t="shared" si="101"/>
        <v>219181</v>
      </c>
      <c r="AE1985" s="42"/>
      <c r="AL1985" s="94" t="s">
        <v>819</v>
      </c>
      <c r="AM1985" s="86">
        <v>553755</v>
      </c>
    </row>
    <row r="1986" spans="13:39" hidden="1">
      <c r="M1986" s="141">
        <v>219284</v>
      </c>
      <c r="N1986" s="223">
        <v>763885</v>
      </c>
      <c r="O1986" s="142" t="s">
        <v>244</v>
      </c>
      <c r="P1986" s="142" t="s">
        <v>245</v>
      </c>
      <c r="Q1986" s="145">
        <v>48</v>
      </c>
      <c r="R1986" s="142" t="s">
        <v>379</v>
      </c>
      <c r="S1986" s="142" t="s">
        <v>801</v>
      </c>
      <c r="T1986" s="144">
        <v>41763</v>
      </c>
      <c r="U1986" s="172">
        <f t="shared" si="102"/>
        <v>2014</v>
      </c>
      <c r="V1986" s="172">
        <f t="shared" si="103"/>
        <v>5</v>
      </c>
      <c r="W1986" s="97" t="s">
        <v>613</v>
      </c>
      <c r="X1986" t="s">
        <v>892</v>
      </c>
      <c r="Y1986" s="41">
        <v>2</v>
      </c>
      <c r="Z1986" s="13"/>
      <c r="AA1986" s="13">
        <f t="shared" si="101"/>
        <v>219284</v>
      </c>
      <c r="AE1986" s="42"/>
      <c r="AL1986" s="94" t="s">
        <v>819</v>
      </c>
      <c r="AM1986" s="86">
        <v>553755</v>
      </c>
    </row>
    <row r="1987" spans="13:39" hidden="1">
      <c r="M1987" s="141">
        <v>220380</v>
      </c>
      <c r="N1987" s="223">
        <v>518440</v>
      </c>
      <c r="O1987" s="142" t="s">
        <v>244</v>
      </c>
      <c r="P1987" s="142" t="s">
        <v>245</v>
      </c>
      <c r="Q1987" s="145">
        <v>288</v>
      </c>
      <c r="R1987" s="142" t="s">
        <v>379</v>
      </c>
      <c r="S1987" s="142" t="s">
        <v>801</v>
      </c>
      <c r="T1987" s="144">
        <v>42722</v>
      </c>
      <c r="U1987" s="172">
        <f t="shared" si="102"/>
        <v>2016</v>
      </c>
      <c r="V1987" s="172">
        <f t="shared" si="103"/>
        <v>12</v>
      </c>
      <c r="W1987" s="97" t="s">
        <v>386</v>
      </c>
      <c r="X1987" t="s">
        <v>892</v>
      </c>
      <c r="Y1987">
        <v>1</v>
      </c>
      <c r="Z1987" s="13"/>
      <c r="AA1987" s="13">
        <f t="shared" si="101"/>
        <v>220380</v>
      </c>
      <c r="AE1987" s="42"/>
      <c r="AL1987" s="94" t="s">
        <v>819</v>
      </c>
      <c r="AM1987" s="86">
        <v>553755</v>
      </c>
    </row>
    <row r="1988" spans="13:39" hidden="1">
      <c r="M1988" s="141">
        <v>220770</v>
      </c>
      <c r="N1988" s="223">
        <v>420906</v>
      </c>
      <c r="O1988" s="142" t="s">
        <v>244</v>
      </c>
      <c r="P1988" s="142" t="s">
        <v>245</v>
      </c>
      <c r="Q1988" s="143" t="s">
        <v>399</v>
      </c>
      <c r="R1988" s="142" t="s">
        <v>379</v>
      </c>
      <c r="S1988" s="142" t="s">
        <v>801</v>
      </c>
      <c r="T1988" s="144">
        <v>42722</v>
      </c>
      <c r="U1988" s="172">
        <f t="shared" si="102"/>
        <v>2016</v>
      </c>
      <c r="V1988" s="172">
        <f t="shared" si="103"/>
        <v>12</v>
      </c>
      <c r="W1988" s="97" t="s">
        <v>386</v>
      </c>
      <c r="X1988" t="s">
        <v>892</v>
      </c>
      <c r="Y1988">
        <v>1</v>
      </c>
      <c r="Z1988" s="13"/>
      <c r="AA1988" s="13">
        <f t="shared" ref="AA1988:AA2051" si="104">IF(M1988&lt;30000,Y1988*100*M1988*(1-$L$1)-$L$2*Y1988,M1988)</f>
        <v>220770</v>
      </c>
      <c r="AE1988" s="42"/>
      <c r="AL1988" s="94" t="s">
        <v>819</v>
      </c>
      <c r="AM1988" s="86">
        <v>553755</v>
      </c>
    </row>
    <row r="1989" spans="13:39" hidden="1">
      <c r="M1989" s="141">
        <v>221000</v>
      </c>
      <c r="N1989" s="223">
        <v>518339</v>
      </c>
      <c r="O1989" s="142" t="s">
        <v>244</v>
      </c>
      <c r="P1989" s="142" t="s">
        <v>245</v>
      </c>
      <c r="Q1989" s="145">
        <v>291</v>
      </c>
      <c r="R1989" s="142" t="s">
        <v>379</v>
      </c>
      <c r="S1989" s="142" t="s">
        <v>801</v>
      </c>
      <c r="T1989" s="144">
        <v>42722</v>
      </c>
      <c r="U1989" s="172">
        <f t="shared" si="102"/>
        <v>2016</v>
      </c>
      <c r="V1989" s="172">
        <f t="shared" si="103"/>
        <v>12</v>
      </c>
      <c r="W1989" s="97" t="s">
        <v>386</v>
      </c>
      <c r="X1989" t="s">
        <v>892</v>
      </c>
      <c r="Y1989">
        <v>1</v>
      </c>
      <c r="Z1989" s="13"/>
      <c r="AA1989" s="13">
        <f t="shared" si="104"/>
        <v>221000</v>
      </c>
      <c r="AE1989" s="42"/>
      <c r="AL1989" s="94" t="s">
        <v>819</v>
      </c>
      <c r="AM1989" s="86">
        <v>554324</v>
      </c>
    </row>
    <row r="1990" spans="13:39" hidden="1">
      <c r="M1990" s="141">
        <v>222845</v>
      </c>
      <c r="N1990" s="223">
        <v>447173</v>
      </c>
      <c r="O1990" s="142" t="s">
        <v>244</v>
      </c>
      <c r="P1990" s="142" t="s">
        <v>245</v>
      </c>
      <c r="Q1990" s="145">
        <v>138</v>
      </c>
      <c r="R1990" s="142" t="s">
        <v>379</v>
      </c>
      <c r="S1990" s="142" t="s">
        <v>801</v>
      </c>
      <c r="T1990" s="144">
        <v>41763</v>
      </c>
      <c r="U1990" s="172">
        <f t="shared" si="102"/>
        <v>2014</v>
      </c>
      <c r="V1990" s="172">
        <f t="shared" si="103"/>
        <v>5</v>
      </c>
      <c r="W1990" s="97" t="s">
        <v>613</v>
      </c>
      <c r="X1990" t="s">
        <v>892</v>
      </c>
      <c r="Y1990" s="41">
        <v>1</v>
      </c>
      <c r="Z1990" s="13"/>
      <c r="AA1990" s="13">
        <f t="shared" si="104"/>
        <v>222845</v>
      </c>
      <c r="AE1990" s="42"/>
      <c r="AL1990" s="94" t="s">
        <v>819</v>
      </c>
      <c r="AM1990" s="86">
        <v>554324</v>
      </c>
    </row>
    <row r="1991" spans="13:39" hidden="1">
      <c r="M1991" s="141">
        <v>223200</v>
      </c>
      <c r="N1991" s="223">
        <v>478655</v>
      </c>
      <c r="O1991" s="142" t="s">
        <v>244</v>
      </c>
      <c r="P1991" s="142" t="s">
        <v>245</v>
      </c>
      <c r="Q1991" s="145">
        <v>538</v>
      </c>
      <c r="R1991" s="142" t="s">
        <v>379</v>
      </c>
      <c r="S1991" s="142" t="s">
        <v>801</v>
      </c>
      <c r="T1991" s="144">
        <v>42722</v>
      </c>
      <c r="U1991" s="172">
        <f t="shared" ref="U1991:U2054" si="105">YEAR($T1991)</f>
        <v>2016</v>
      </c>
      <c r="V1991" s="172">
        <f t="shared" ref="V1991:V2054" si="106">MONTH($T1991)</f>
        <v>12</v>
      </c>
      <c r="W1991" s="97" t="s">
        <v>386</v>
      </c>
      <c r="X1991" t="s">
        <v>892</v>
      </c>
      <c r="Y1991">
        <v>1</v>
      </c>
      <c r="Z1991" s="13"/>
      <c r="AA1991" s="13">
        <f t="shared" si="104"/>
        <v>223200</v>
      </c>
      <c r="AE1991" s="42"/>
      <c r="AL1991" s="94" t="s">
        <v>819</v>
      </c>
      <c r="AM1991" s="86">
        <v>554324</v>
      </c>
    </row>
    <row r="1992" spans="13:39" hidden="1">
      <c r="M1992" s="141">
        <v>224500</v>
      </c>
      <c r="N1992" s="223">
        <v>538724</v>
      </c>
      <c r="O1992" s="142" t="s">
        <v>244</v>
      </c>
      <c r="P1992" s="142" t="s">
        <v>245</v>
      </c>
      <c r="Q1992" s="145">
        <v>523</v>
      </c>
      <c r="R1992" s="142" t="s">
        <v>379</v>
      </c>
      <c r="S1992" s="142" t="s">
        <v>801</v>
      </c>
      <c r="T1992" s="144">
        <v>42722</v>
      </c>
      <c r="U1992" s="172">
        <f t="shared" si="105"/>
        <v>2016</v>
      </c>
      <c r="V1992" s="172">
        <f t="shared" si="106"/>
        <v>12</v>
      </c>
      <c r="W1992" s="97" t="s">
        <v>386</v>
      </c>
      <c r="X1992" t="s">
        <v>892</v>
      </c>
      <c r="Y1992">
        <v>1</v>
      </c>
      <c r="Z1992" s="13"/>
      <c r="AA1992" s="13">
        <f t="shared" si="104"/>
        <v>224500</v>
      </c>
      <c r="AE1992" s="42"/>
      <c r="AL1992" s="94" t="s">
        <v>819</v>
      </c>
      <c r="AM1992" s="86">
        <v>554324</v>
      </c>
    </row>
    <row r="1993" spans="13:39" hidden="1">
      <c r="M1993" s="141">
        <v>225520</v>
      </c>
      <c r="N1993" s="223">
        <v>518440</v>
      </c>
      <c r="O1993" s="142" t="s">
        <v>244</v>
      </c>
      <c r="P1993" s="142" t="s">
        <v>245</v>
      </c>
      <c r="Q1993" s="145">
        <v>512</v>
      </c>
      <c r="R1993" s="142" t="s">
        <v>379</v>
      </c>
      <c r="S1993" s="142" t="s">
        <v>801</v>
      </c>
      <c r="T1993" s="144">
        <v>42722</v>
      </c>
      <c r="U1993" s="172">
        <f t="shared" si="105"/>
        <v>2016</v>
      </c>
      <c r="V1993" s="172">
        <f t="shared" si="106"/>
        <v>12</v>
      </c>
      <c r="W1993" s="97" t="s">
        <v>386</v>
      </c>
      <c r="X1993" t="s">
        <v>892</v>
      </c>
      <c r="Y1993">
        <v>1</v>
      </c>
      <c r="Z1993" s="13"/>
      <c r="AA1993" s="13">
        <f t="shared" si="104"/>
        <v>225520</v>
      </c>
      <c r="AE1993" s="42"/>
      <c r="AL1993" s="94" t="s">
        <v>819</v>
      </c>
      <c r="AM1993" s="86">
        <v>554324</v>
      </c>
    </row>
    <row r="1994" spans="13:39" hidden="1">
      <c r="M1994" s="141">
        <v>228200</v>
      </c>
      <c r="N1994" s="223">
        <v>526651</v>
      </c>
      <c r="O1994" s="142" t="s">
        <v>244</v>
      </c>
      <c r="P1994" s="142" t="s">
        <v>245</v>
      </c>
      <c r="Q1994" s="145">
        <v>501</v>
      </c>
      <c r="R1994" s="142" t="s">
        <v>379</v>
      </c>
      <c r="S1994" s="142" t="s">
        <v>801</v>
      </c>
      <c r="T1994" s="144">
        <v>42722</v>
      </c>
      <c r="U1994" s="172">
        <f t="shared" si="105"/>
        <v>2016</v>
      </c>
      <c r="V1994" s="172">
        <f t="shared" si="106"/>
        <v>12</v>
      </c>
      <c r="W1994" s="97" t="s">
        <v>386</v>
      </c>
      <c r="X1994" t="s">
        <v>892</v>
      </c>
      <c r="Y1994">
        <v>1</v>
      </c>
      <c r="Z1994" s="13"/>
      <c r="AA1994" s="13">
        <f t="shared" si="104"/>
        <v>228200</v>
      </c>
      <c r="AE1994" s="42"/>
      <c r="AL1994" s="94" t="s">
        <v>819</v>
      </c>
      <c r="AM1994" s="86">
        <v>554324</v>
      </c>
    </row>
    <row r="1995" spans="13:39" hidden="1">
      <c r="M1995" s="141">
        <v>230000</v>
      </c>
      <c r="N1995" s="223">
        <v>421111</v>
      </c>
      <c r="O1995" s="142" t="s">
        <v>244</v>
      </c>
      <c r="P1995" s="142" t="s">
        <v>245</v>
      </c>
      <c r="Q1995" s="143" t="s">
        <v>398</v>
      </c>
      <c r="R1995" s="142" t="s">
        <v>379</v>
      </c>
      <c r="S1995" s="142" t="s">
        <v>801</v>
      </c>
      <c r="T1995" s="144">
        <v>42722</v>
      </c>
      <c r="U1995" s="172">
        <f t="shared" si="105"/>
        <v>2016</v>
      </c>
      <c r="V1995" s="172">
        <f t="shared" si="106"/>
        <v>12</v>
      </c>
      <c r="W1995" s="97" t="s">
        <v>386</v>
      </c>
      <c r="X1995" t="s">
        <v>892</v>
      </c>
      <c r="Y1995">
        <v>1</v>
      </c>
      <c r="Z1995" s="13"/>
      <c r="AA1995" s="13">
        <f t="shared" si="104"/>
        <v>230000</v>
      </c>
      <c r="AE1995" s="42"/>
      <c r="AL1995" s="94" t="s">
        <v>819</v>
      </c>
      <c r="AM1995" s="86">
        <v>554324</v>
      </c>
    </row>
    <row r="1996" spans="13:39" hidden="1">
      <c r="M1996" s="141">
        <v>230000</v>
      </c>
      <c r="N1996" s="223">
        <v>796960</v>
      </c>
      <c r="O1996" s="142" t="s">
        <v>244</v>
      </c>
      <c r="P1996" s="142" t="s">
        <v>245</v>
      </c>
      <c r="Q1996" s="145">
        <v>30</v>
      </c>
      <c r="R1996" s="142" t="s">
        <v>379</v>
      </c>
      <c r="S1996" s="142" t="s">
        <v>801</v>
      </c>
      <c r="T1996" s="144">
        <v>41763</v>
      </c>
      <c r="U1996" s="172">
        <f t="shared" si="105"/>
        <v>2014</v>
      </c>
      <c r="V1996" s="172">
        <f t="shared" si="106"/>
        <v>5</v>
      </c>
      <c r="W1996" s="97" t="s">
        <v>613</v>
      </c>
      <c r="X1996" t="s">
        <v>892</v>
      </c>
      <c r="Y1996" s="41">
        <v>2</v>
      </c>
      <c r="Z1996" s="13"/>
      <c r="AA1996" s="13">
        <f t="shared" si="104"/>
        <v>230000</v>
      </c>
      <c r="AE1996" s="42"/>
      <c r="AL1996" s="94" t="s">
        <v>819</v>
      </c>
      <c r="AM1996" s="86">
        <v>554324</v>
      </c>
    </row>
    <row r="1997" spans="13:39" hidden="1">
      <c r="M1997" s="141">
        <v>230500</v>
      </c>
      <c r="N1997" s="223">
        <v>435211</v>
      </c>
      <c r="O1997" s="142" t="s">
        <v>244</v>
      </c>
      <c r="P1997" s="142" t="s">
        <v>245</v>
      </c>
      <c r="Q1997" s="143" t="s">
        <v>400</v>
      </c>
      <c r="R1997" s="142" t="s">
        <v>379</v>
      </c>
      <c r="S1997" s="142" t="s">
        <v>801</v>
      </c>
      <c r="T1997" s="144">
        <v>42722</v>
      </c>
      <c r="U1997" s="172">
        <f t="shared" si="105"/>
        <v>2016</v>
      </c>
      <c r="V1997" s="172">
        <f t="shared" si="106"/>
        <v>12</v>
      </c>
      <c r="W1997" s="97" t="s">
        <v>386</v>
      </c>
      <c r="X1997" t="s">
        <v>892</v>
      </c>
      <c r="Y1997">
        <v>1</v>
      </c>
      <c r="Z1997" s="13"/>
      <c r="AA1997" s="13">
        <f t="shared" si="104"/>
        <v>230500</v>
      </c>
      <c r="AE1997" s="42"/>
      <c r="AL1997" s="94" t="s">
        <v>819</v>
      </c>
      <c r="AM1997" s="86">
        <v>554324</v>
      </c>
    </row>
    <row r="1998" spans="13:39" hidden="1">
      <c r="M1998" s="141">
        <v>231900</v>
      </c>
      <c r="N1998" s="223">
        <v>426351</v>
      </c>
      <c r="O1998" s="142" t="s">
        <v>244</v>
      </c>
      <c r="P1998" s="142" t="s">
        <v>245</v>
      </c>
      <c r="Q1998" s="143" t="s">
        <v>471</v>
      </c>
      <c r="R1998" s="142" t="s">
        <v>379</v>
      </c>
      <c r="S1998" s="142" t="s">
        <v>801</v>
      </c>
      <c r="T1998" s="144">
        <v>42169</v>
      </c>
      <c r="U1998" s="172">
        <f t="shared" si="105"/>
        <v>2015</v>
      </c>
      <c r="V1998" s="172">
        <f t="shared" si="106"/>
        <v>6</v>
      </c>
      <c r="W1998" s="97" t="s">
        <v>464</v>
      </c>
      <c r="X1998" t="s">
        <v>892</v>
      </c>
      <c r="Y1998" s="41">
        <v>1</v>
      </c>
      <c r="Z1998" s="13"/>
      <c r="AA1998" s="13">
        <f t="shared" si="104"/>
        <v>231900</v>
      </c>
      <c r="AE1998" s="42"/>
      <c r="AL1998" s="88" t="s">
        <v>819</v>
      </c>
      <c r="AM1998" s="86">
        <v>554531</v>
      </c>
    </row>
    <row r="1999" spans="13:39" hidden="1">
      <c r="M1999" s="141">
        <v>232000</v>
      </c>
      <c r="N1999" s="223">
        <v>513323</v>
      </c>
      <c r="O1999" s="142" t="s">
        <v>244</v>
      </c>
      <c r="P1999" s="142" t="s">
        <v>245</v>
      </c>
      <c r="Q1999" s="145">
        <v>396</v>
      </c>
      <c r="R1999" s="142" t="s">
        <v>379</v>
      </c>
      <c r="S1999" s="142" t="s">
        <v>801</v>
      </c>
      <c r="T1999" s="144">
        <v>42722</v>
      </c>
      <c r="U1999" s="172">
        <f t="shared" si="105"/>
        <v>2016</v>
      </c>
      <c r="V1999" s="172">
        <f t="shared" si="106"/>
        <v>12</v>
      </c>
      <c r="W1999" s="97" t="s">
        <v>386</v>
      </c>
      <c r="X1999" t="s">
        <v>892</v>
      </c>
      <c r="Y1999">
        <v>1</v>
      </c>
      <c r="Z1999" s="13"/>
      <c r="AA1999" s="13">
        <f t="shared" si="104"/>
        <v>232000</v>
      </c>
      <c r="AE1999" s="42"/>
      <c r="AL1999" s="94" t="s">
        <v>819</v>
      </c>
      <c r="AM1999" s="86">
        <v>554895</v>
      </c>
    </row>
    <row r="2000" spans="13:39" hidden="1">
      <c r="M2000" s="141">
        <v>232600</v>
      </c>
      <c r="N2000" s="223">
        <v>493082</v>
      </c>
      <c r="O2000" s="142" t="s">
        <v>244</v>
      </c>
      <c r="P2000" s="142" t="s">
        <v>245</v>
      </c>
      <c r="Q2000" s="145">
        <v>144</v>
      </c>
      <c r="R2000" s="142" t="s">
        <v>379</v>
      </c>
      <c r="S2000" s="142" t="s">
        <v>801</v>
      </c>
      <c r="T2000" s="144">
        <v>42169</v>
      </c>
      <c r="U2000" s="172">
        <f t="shared" si="105"/>
        <v>2015</v>
      </c>
      <c r="V2000" s="172">
        <f t="shared" si="106"/>
        <v>6</v>
      </c>
      <c r="W2000" s="97" t="s">
        <v>464</v>
      </c>
      <c r="X2000" t="s">
        <v>892</v>
      </c>
      <c r="Y2000" s="41">
        <v>1</v>
      </c>
      <c r="Z2000" s="13"/>
      <c r="AA2000" s="13">
        <f t="shared" si="104"/>
        <v>232600</v>
      </c>
      <c r="AE2000" s="42"/>
      <c r="AL2000" s="94" t="s">
        <v>819</v>
      </c>
      <c r="AM2000" s="86">
        <v>554895</v>
      </c>
    </row>
    <row r="2001" spans="13:39" hidden="1">
      <c r="M2001" s="141">
        <v>233510</v>
      </c>
      <c r="N2001" s="223">
        <v>518339</v>
      </c>
      <c r="O2001" s="142" t="s">
        <v>244</v>
      </c>
      <c r="P2001" s="142" t="s">
        <v>245</v>
      </c>
      <c r="Q2001" s="145">
        <v>293</v>
      </c>
      <c r="R2001" s="142" t="s">
        <v>379</v>
      </c>
      <c r="S2001" s="142" t="s">
        <v>801</v>
      </c>
      <c r="T2001" s="144">
        <v>42722</v>
      </c>
      <c r="U2001" s="172">
        <f t="shared" si="105"/>
        <v>2016</v>
      </c>
      <c r="V2001" s="172">
        <f t="shared" si="106"/>
        <v>12</v>
      </c>
      <c r="W2001" s="97" t="s">
        <v>386</v>
      </c>
      <c r="X2001" t="s">
        <v>892</v>
      </c>
      <c r="Y2001">
        <v>1</v>
      </c>
      <c r="Z2001" s="13"/>
      <c r="AA2001" s="13">
        <f t="shared" si="104"/>
        <v>233510</v>
      </c>
      <c r="AE2001" s="42"/>
      <c r="AL2001" s="94" t="s">
        <v>819</v>
      </c>
      <c r="AM2001" s="86">
        <v>554895</v>
      </c>
    </row>
    <row r="2002" spans="13:39" hidden="1">
      <c r="M2002" s="141">
        <v>235000</v>
      </c>
      <c r="N2002" s="223">
        <v>442958</v>
      </c>
      <c r="O2002" s="142" t="s">
        <v>244</v>
      </c>
      <c r="P2002" s="142" t="s">
        <v>245</v>
      </c>
      <c r="Q2002" s="145">
        <v>133</v>
      </c>
      <c r="R2002" s="142" t="s">
        <v>379</v>
      </c>
      <c r="S2002" s="142" t="s">
        <v>801</v>
      </c>
      <c r="T2002" s="144">
        <v>41763</v>
      </c>
      <c r="U2002" s="172">
        <f t="shared" si="105"/>
        <v>2014</v>
      </c>
      <c r="V2002" s="172">
        <f t="shared" si="106"/>
        <v>5</v>
      </c>
      <c r="W2002" s="97" t="s">
        <v>613</v>
      </c>
      <c r="X2002" t="s">
        <v>892</v>
      </c>
      <c r="Y2002" s="41">
        <v>1</v>
      </c>
      <c r="Z2002" s="13"/>
      <c r="AA2002" s="13">
        <f t="shared" si="104"/>
        <v>235000</v>
      </c>
      <c r="AE2002" s="42"/>
      <c r="AL2002" s="94" t="s">
        <v>819</v>
      </c>
      <c r="AM2002" s="86">
        <v>554895</v>
      </c>
    </row>
    <row r="2003" spans="13:39" hidden="1">
      <c r="M2003" s="141">
        <v>235500</v>
      </c>
      <c r="N2003" s="223">
        <v>321858</v>
      </c>
      <c r="O2003" s="142" t="s">
        <v>244</v>
      </c>
      <c r="P2003" s="142" t="s">
        <v>245</v>
      </c>
      <c r="Q2003" s="145">
        <v>11</v>
      </c>
      <c r="R2003" s="142" t="s">
        <v>379</v>
      </c>
      <c r="S2003" s="142" t="s">
        <v>801</v>
      </c>
      <c r="T2003" s="144">
        <v>41987</v>
      </c>
      <c r="U2003" s="172">
        <f t="shared" si="105"/>
        <v>2014</v>
      </c>
      <c r="V2003" s="172">
        <f t="shared" si="106"/>
        <v>12</v>
      </c>
      <c r="W2003" s="97" t="s">
        <v>586</v>
      </c>
      <c r="X2003" t="s">
        <v>892</v>
      </c>
      <c r="Y2003" s="41">
        <v>1</v>
      </c>
      <c r="Z2003" s="13"/>
      <c r="AA2003" s="13">
        <f t="shared" si="104"/>
        <v>235500</v>
      </c>
      <c r="AE2003" s="42"/>
      <c r="AL2003" s="94" t="s">
        <v>819</v>
      </c>
      <c r="AM2003" s="86">
        <v>555464</v>
      </c>
    </row>
    <row r="2004" spans="13:39" hidden="1">
      <c r="M2004" s="141">
        <v>235550</v>
      </c>
      <c r="N2004" s="223">
        <v>518440</v>
      </c>
      <c r="O2004" s="142" t="s">
        <v>244</v>
      </c>
      <c r="P2004" s="142" t="s">
        <v>245</v>
      </c>
      <c r="Q2004" s="145">
        <v>284</v>
      </c>
      <c r="R2004" s="142" t="s">
        <v>379</v>
      </c>
      <c r="S2004" s="142" t="s">
        <v>801</v>
      </c>
      <c r="T2004" s="144">
        <v>42722</v>
      </c>
      <c r="U2004" s="172">
        <f t="shared" si="105"/>
        <v>2016</v>
      </c>
      <c r="V2004" s="172">
        <f t="shared" si="106"/>
        <v>12</v>
      </c>
      <c r="W2004" s="97" t="s">
        <v>386</v>
      </c>
      <c r="X2004" t="s">
        <v>892</v>
      </c>
      <c r="Y2004">
        <v>1</v>
      </c>
      <c r="Z2004" s="13"/>
      <c r="AA2004" s="13">
        <f t="shared" si="104"/>
        <v>235550</v>
      </c>
      <c r="AE2004" s="42"/>
      <c r="AL2004" s="94" t="s">
        <v>819</v>
      </c>
      <c r="AM2004" s="86">
        <v>555464</v>
      </c>
    </row>
    <row r="2005" spans="13:39" hidden="1">
      <c r="M2005" s="141">
        <v>235555</v>
      </c>
      <c r="N2005" s="223">
        <v>518339</v>
      </c>
      <c r="O2005" s="142" t="s">
        <v>244</v>
      </c>
      <c r="P2005" s="142" t="s">
        <v>245</v>
      </c>
      <c r="Q2005" s="145">
        <v>195</v>
      </c>
      <c r="R2005" s="142" t="s">
        <v>379</v>
      </c>
      <c r="S2005" s="142" t="s">
        <v>801</v>
      </c>
      <c r="T2005" s="144">
        <v>42722</v>
      </c>
      <c r="U2005" s="172">
        <f t="shared" si="105"/>
        <v>2016</v>
      </c>
      <c r="V2005" s="172">
        <f t="shared" si="106"/>
        <v>12</v>
      </c>
      <c r="W2005" s="97" t="s">
        <v>386</v>
      </c>
      <c r="X2005" t="s">
        <v>892</v>
      </c>
      <c r="Y2005">
        <v>1</v>
      </c>
      <c r="Z2005" s="13"/>
      <c r="AA2005" s="13">
        <f t="shared" si="104"/>
        <v>235555</v>
      </c>
      <c r="AE2005" s="42"/>
      <c r="AL2005" s="94" t="s">
        <v>819</v>
      </c>
      <c r="AM2005" s="86">
        <v>555464</v>
      </c>
    </row>
    <row r="2006" spans="13:39" hidden="1">
      <c r="M2006" s="141">
        <v>235555</v>
      </c>
      <c r="N2006" s="223">
        <v>638476</v>
      </c>
      <c r="O2006" s="142" t="s">
        <v>244</v>
      </c>
      <c r="P2006" s="142" t="s">
        <v>245</v>
      </c>
      <c r="Q2006" s="145">
        <v>155</v>
      </c>
      <c r="R2006" s="142" t="s">
        <v>379</v>
      </c>
      <c r="S2006" s="142" t="s">
        <v>801</v>
      </c>
      <c r="T2006" s="144">
        <v>42169</v>
      </c>
      <c r="U2006" s="172">
        <f t="shared" si="105"/>
        <v>2015</v>
      </c>
      <c r="V2006" s="172">
        <f t="shared" si="106"/>
        <v>6</v>
      </c>
      <c r="W2006" s="97" t="s">
        <v>464</v>
      </c>
      <c r="X2006" t="s">
        <v>892</v>
      </c>
      <c r="Y2006" s="41">
        <v>1</v>
      </c>
      <c r="Z2006" s="13"/>
      <c r="AA2006" s="13">
        <f t="shared" si="104"/>
        <v>235555</v>
      </c>
      <c r="AE2006" s="42"/>
      <c r="AL2006" s="94" t="s">
        <v>819</v>
      </c>
      <c r="AM2006" s="86">
        <v>555464</v>
      </c>
    </row>
    <row r="2007" spans="13:39" hidden="1">
      <c r="M2007" s="141">
        <v>236000</v>
      </c>
      <c r="N2007" s="223">
        <v>513829</v>
      </c>
      <c r="O2007" s="142" t="s">
        <v>244</v>
      </c>
      <c r="P2007" s="142" t="s">
        <v>245</v>
      </c>
      <c r="Q2007" s="145">
        <v>545</v>
      </c>
      <c r="R2007" s="142" t="s">
        <v>379</v>
      </c>
      <c r="S2007" s="142" t="s">
        <v>801</v>
      </c>
      <c r="T2007" s="144">
        <v>42722</v>
      </c>
      <c r="U2007" s="172">
        <f t="shared" si="105"/>
        <v>2016</v>
      </c>
      <c r="V2007" s="172">
        <f t="shared" si="106"/>
        <v>12</v>
      </c>
      <c r="W2007" s="97" t="s">
        <v>386</v>
      </c>
      <c r="X2007" t="s">
        <v>892</v>
      </c>
      <c r="Y2007">
        <v>1</v>
      </c>
      <c r="Z2007" s="13"/>
      <c r="AA2007" s="13">
        <f t="shared" si="104"/>
        <v>236000</v>
      </c>
      <c r="AE2007" s="42"/>
      <c r="AL2007" s="94" t="s">
        <v>819</v>
      </c>
      <c r="AM2007" s="86">
        <v>555464</v>
      </c>
    </row>
    <row r="2008" spans="13:39" hidden="1">
      <c r="M2008" s="141">
        <v>236011</v>
      </c>
      <c r="N2008" s="223">
        <v>761508</v>
      </c>
      <c r="O2008" s="142" t="s">
        <v>244</v>
      </c>
      <c r="P2008" s="142" t="s">
        <v>245</v>
      </c>
      <c r="Q2008" s="145">
        <v>58</v>
      </c>
      <c r="R2008" s="142" t="s">
        <v>379</v>
      </c>
      <c r="S2008" s="142" t="s">
        <v>801</v>
      </c>
      <c r="T2008" s="144">
        <v>41763</v>
      </c>
      <c r="U2008" s="172">
        <f t="shared" si="105"/>
        <v>2014</v>
      </c>
      <c r="V2008" s="172">
        <f t="shared" si="106"/>
        <v>5</v>
      </c>
      <c r="W2008" s="97" t="s">
        <v>613</v>
      </c>
      <c r="X2008" t="s">
        <v>892</v>
      </c>
      <c r="Y2008" s="41">
        <v>2</v>
      </c>
      <c r="Z2008" s="13"/>
      <c r="AA2008" s="13">
        <f t="shared" si="104"/>
        <v>236011</v>
      </c>
      <c r="AE2008" s="42"/>
      <c r="AL2008" s="94" t="s">
        <v>819</v>
      </c>
      <c r="AM2008" s="86">
        <v>555464</v>
      </c>
    </row>
    <row r="2009" spans="13:39" hidden="1">
      <c r="M2009" s="141">
        <v>236222</v>
      </c>
      <c r="N2009" s="223">
        <v>518440</v>
      </c>
      <c r="O2009" s="142" t="s">
        <v>244</v>
      </c>
      <c r="P2009" s="142" t="s">
        <v>245</v>
      </c>
      <c r="Q2009" s="145">
        <v>287</v>
      </c>
      <c r="R2009" s="142" t="s">
        <v>379</v>
      </c>
      <c r="S2009" s="142" t="s">
        <v>801</v>
      </c>
      <c r="T2009" s="144">
        <v>42722</v>
      </c>
      <c r="U2009" s="172">
        <f t="shared" si="105"/>
        <v>2016</v>
      </c>
      <c r="V2009" s="172">
        <f t="shared" si="106"/>
        <v>12</v>
      </c>
      <c r="W2009" s="97" t="s">
        <v>386</v>
      </c>
      <c r="X2009" t="s">
        <v>892</v>
      </c>
      <c r="Y2009">
        <v>1</v>
      </c>
      <c r="Z2009" s="13"/>
      <c r="AA2009" s="13">
        <f t="shared" si="104"/>
        <v>236222</v>
      </c>
      <c r="AE2009" s="42"/>
      <c r="AL2009" s="94" t="s">
        <v>819</v>
      </c>
      <c r="AM2009" s="86">
        <v>555464</v>
      </c>
    </row>
    <row r="2010" spans="13:39" hidden="1">
      <c r="M2010" s="141">
        <v>237000</v>
      </c>
      <c r="N2010" s="223">
        <v>321858</v>
      </c>
      <c r="O2010" s="142" t="s">
        <v>244</v>
      </c>
      <c r="P2010" s="142" t="s">
        <v>245</v>
      </c>
      <c r="Q2010" s="143" t="s">
        <v>604</v>
      </c>
      <c r="R2010" s="142" t="s">
        <v>379</v>
      </c>
      <c r="S2010" s="142" t="s">
        <v>801</v>
      </c>
      <c r="T2010" s="144">
        <v>41987</v>
      </c>
      <c r="U2010" s="172">
        <f t="shared" si="105"/>
        <v>2014</v>
      </c>
      <c r="V2010" s="172">
        <f t="shared" si="106"/>
        <v>12</v>
      </c>
      <c r="W2010" s="97" t="s">
        <v>586</v>
      </c>
      <c r="X2010" t="s">
        <v>892</v>
      </c>
      <c r="Y2010" s="41">
        <v>1</v>
      </c>
      <c r="Z2010" s="13"/>
      <c r="AA2010" s="13">
        <f t="shared" si="104"/>
        <v>237000</v>
      </c>
      <c r="AE2010" s="42"/>
      <c r="AL2010" s="94" t="s">
        <v>819</v>
      </c>
      <c r="AM2010" s="86">
        <v>555464</v>
      </c>
    </row>
    <row r="2011" spans="13:39" hidden="1">
      <c r="M2011" s="141">
        <v>237000</v>
      </c>
      <c r="N2011" s="223">
        <v>387233</v>
      </c>
      <c r="O2011" s="142" t="s">
        <v>244</v>
      </c>
      <c r="P2011" s="142" t="s">
        <v>245</v>
      </c>
      <c r="Q2011" s="143" t="s">
        <v>453</v>
      </c>
      <c r="R2011" s="142" t="s">
        <v>379</v>
      </c>
      <c r="S2011" s="142" t="s">
        <v>801</v>
      </c>
      <c r="T2011" s="144">
        <v>42498</v>
      </c>
      <c r="U2011" s="172">
        <f t="shared" si="105"/>
        <v>2016</v>
      </c>
      <c r="V2011" s="172">
        <f t="shared" si="106"/>
        <v>5</v>
      </c>
      <c r="W2011" s="97" t="s">
        <v>445</v>
      </c>
      <c r="X2011" t="s">
        <v>892</v>
      </c>
      <c r="Y2011">
        <v>1</v>
      </c>
      <c r="Z2011" s="13"/>
      <c r="AA2011" s="13">
        <f t="shared" si="104"/>
        <v>237000</v>
      </c>
      <c r="AE2011" s="42"/>
      <c r="AL2011" s="94" t="s">
        <v>819</v>
      </c>
      <c r="AM2011" s="86">
        <v>555464</v>
      </c>
    </row>
    <row r="2012" spans="13:39" hidden="1">
      <c r="M2012" s="141">
        <v>237107</v>
      </c>
      <c r="N2012" s="223">
        <v>518339</v>
      </c>
      <c r="O2012" s="142" t="s">
        <v>244</v>
      </c>
      <c r="P2012" s="142" t="s">
        <v>245</v>
      </c>
      <c r="Q2012" s="145">
        <v>285</v>
      </c>
      <c r="R2012" s="142" t="s">
        <v>379</v>
      </c>
      <c r="S2012" s="142" t="s">
        <v>801</v>
      </c>
      <c r="T2012" s="144">
        <v>42722</v>
      </c>
      <c r="U2012" s="172">
        <f t="shared" si="105"/>
        <v>2016</v>
      </c>
      <c r="V2012" s="172">
        <f t="shared" si="106"/>
        <v>12</v>
      </c>
      <c r="W2012" s="97" t="s">
        <v>386</v>
      </c>
      <c r="X2012" t="s">
        <v>892</v>
      </c>
      <c r="Y2012">
        <v>1</v>
      </c>
      <c r="Z2012" s="13"/>
      <c r="AA2012" s="13">
        <f t="shared" si="104"/>
        <v>237107</v>
      </c>
      <c r="AE2012" s="42"/>
      <c r="AL2012" s="94" t="s">
        <v>819</v>
      </c>
      <c r="AM2012" s="86">
        <v>555464</v>
      </c>
    </row>
    <row r="2013" spans="13:39" hidden="1">
      <c r="M2013" s="141">
        <v>238888</v>
      </c>
      <c r="N2013" s="223">
        <v>518440</v>
      </c>
      <c r="O2013" s="142" t="s">
        <v>244</v>
      </c>
      <c r="P2013" s="142" t="s">
        <v>245</v>
      </c>
      <c r="Q2013" s="145">
        <v>292</v>
      </c>
      <c r="R2013" s="142" t="s">
        <v>379</v>
      </c>
      <c r="S2013" s="142" t="s">
        <v>801</v>
      </c>
      <c r="T2013" s="144">
        <v>42722</v>
      </c>
      <c r="U2013" s="172">
        <f t="shared" si="105"/>
        <v>2016</v>
      </c>
      <c r="V2013" s="172">
        <f t="shared" si="106"/>
        <v>12</v>
      </c>
      <c r="W2013" s="97" t="s">
        <v>386</v>
      </c>
      <c r="X2013" t="s">
        <v>892</v>
      </c>
      <c r="Y2013">
        <v>1</v>
      </c>
      <c r="Z2013" s="13"/>
      <c r="AA2013" s="13">
        <f t="shared" si="104"/>
        <v>238888</v>
      </c>
      <c r="AE2013" s="42"/>
      <c r="AL2013" s="94" t="s">
        <v>819</v>
      </c>
      <c r="AM2013" s="86">
        <v>555464</v>
      </c>
    </row>
    <row r="2014" spans="13:39" hidden="1">
      <c r="M2014" s="141">
        <v>239300</v>
      </c>
      <c r="N2014" s="223">
        <v>518440</v>
      </c>
      <c r="O2014" s="142" t="s">
        <v>244</v>
      </c>
      <c r="P2014" s="142" t="s">
        <v>245</v>
      </c>
      <c r="Q2014" s="145">
        <v>182</v>
      </c>
      <c r="R2014" s="142" t="s">
        <v>379</v>
      </c>
      <c r="S2014" s="142" t="s">
        <v>801</v>
      </c>
      <c r="T2014" s="144">
        <v>42722</v>
      </c>
      <c r="U2014" s="172">
        <f t="shared" si="105"/>
        <v>2016</v>
      </c>
      <c r="V2014" s="172">
        <f t="shared" si="106"/>
        <v>12</v>
      </c>
      <c r="W2014" s="97" t="s">
        <v>386</v>
      </c>
      <c r="X2014" t="s">
        <v>892</v>
      </c>
      <c r="Y2014">
        <v>1</v>
      </c>
      <c r="Z2014" s="13"/>
      <c r="AA2014" s="13">
        <f t="shared" si="104"/>
        <v>239300</v>
      </c>
      <c r="AE2014" s="42"/>
      <c r="AL2014" s="94" t="s">
        <v>819</v>
      </c>
      <c r="AM2014" s="86">
        <v>555464</v>
      </c>
    </row>
    <row r="2015" spans="13:39" hidden="1">
      <c r="M2015" s="141">
        <v>239950</v>
      </c>
      <c r="N2015" s="223">
        <v>420201</v>
      </c>
      <c r="O2015" s="142" t="s">
        <v>244</v>
      </c>
      <c r="P2015" s="142" t="s">
        <v>245</v>
      </c>
      <c r="Q2015" s="145">
        <v>4</v>
      </c>
      <c r="R2015" s="142" t="s">
        <v>379</v>
      </c>
      <c r="S2015" s="142" t="s">
        <v>801</v>
      </c>
      <c r="T2015" s="144">
        <v>41987</v>
      </c>
      <c r="U2015" s="172">
        <f t="shared" si="105"/>
        <v>2014</v>
      </c>
      <c r="V2015" s="172">
        <f t="shared" si="106"/>
        <v>12</v>
      </c>
      <c r="W2015" s="97" t="s">
        <v>586</v>
      </c>
      <c r="X2015" t="s">
        <v>892</v>
      </c>
      <c r="Y2015" s="41">
        <v>1</v>
      </c>
      <c r="Z2015" s="13"/>
      <c r="AA2015" s="13">
        <f t="shared" si="104"/>
        <v>239950</v>
      </c>
      <c r="AE2015" s="42"/>
      <c r="AL2015" s="94" t="s">
        <v>819</v>
      </c>
      <c r="AM2015" s="86">
        <v>556034</v>
      </c>
    </row>
    <row r="2016" spans="13:39" hidden="1">
      <c r="M2016" s="141">
        <v>240000</v>
      </c>
      <c r="N2016" s="223">
        <v>472822</v>
      </c>
      <c r="O2016" s="142" t="s">
        <v>244</v>
      </c>
      <c r="P2016" s="142" t="s">
        <v>245</v>
      </c>
      <c r="Q2016" s="145">
        <v>117</v>
      </c>
      <c r="R2016" s="142" t="s">
        <v>379</v>
      </c>
      <c r="S2016" s="142" t="s">
        <v>801</v>
      </c>
      <c r="T2016" s="144">
        <v>42169</v>
      </c>
      <c r="U2016" s="172">
        <f t="shared" si="105"/>
        <v>2015</v>
      </c>
      <c r="V2016" s="172">
        <f t="shared" si="106"/>
        <v>6</v>
      </c>
      <c r="W2016" s="97" t="s">
        <v>464</v>
      </c>
      <c r="X2016" t="s">
        <v>892</v>
      </c>
      <c r="Y2016" s="41">
        <v>1</v>
      </c>
      <c r="Z2016" s="13"/>
      <c r="AA2016" s="13">
        <f t="shared" si="104"/>
        <v>240000</v>
      </c>
      <c r="AE2016" s="42"/>
      <c r="AL2016" s="94" t="s">
        <v>819</v>
      </c>
      <c r="AM2016" s="86">
        <v>556034</v>
      </c>
    </row>
    <row r="2017" spans="13:39" hidden="1">
      <c r="M2017" s="141">
        <v>240240</v>
      </c>
      <c r="N2017" s="223">
        <v>500923</v>
      </c>
      <c r="O2017" s="142" t="s">
        <v>244</v>
      </c>
      <c r="P2017" s="142" t="s">
        <v>245</v>
      </c>
      <c r="Q2017" s="145">
        <v>398</v>
      </c>
      <c r="R2017" s="142" t="s">
        <v>379</v>
      </c>
      <c r="S2017" s="142" t="s">
        <v>801</v>
      </c>
      <c r="T2017" s="144">
        <v>42722</v>
      </c>
      <c r="U2017" s="172">
        <f t="shared" si="105"/>
        <v>2016</v>
      </c>
      <c r="V2017" s="172">
        <f t="shared" si="106"/>
        <v>12</v>
      </c>
      <c r="W2017" s="97" t="s">
        <v>386</v>
      </c>
      <c r="X2017" t="s">
        <v>892</v>
      </c>
      <c r="Y2017">
        <v>1</v>
      </c>
      <c r="Z2017" s="13"/>
      <c r="AA2017" s="13">
        <f t="shared" si="104"/>
        <v>240240</v>
      </c>
      <c r="AE2017" s="42"/>
      <c r="AL2017" s="94" t="s">
        <v>819</v>
      </c>
      <c r="AM2017" s="86">
        <v>556034</v>
      </c>
    </row>
    <row r="2018" spans="13:39" hidden="1">
      <c r="M2018" s="141">
        <v>240762</v>
      </c>
      <c r="N2018" s="223">
        <v>430306</v>
      </c>
      <c r="O2018" s="142" t="s">
        <v>244</v>
      </c>
      <c r="P2018" s="142" t="s">
        <v>245</v>
      </c>
      <c r="Q2018" s="143" t="s">
        <v>391</v>
      </c>
      <c r="R2018" s="142" t="s">
        <v>379</v>
      </c>
      <c r="S2018" s="142" t="s">
        <v>801</v>
      </c>
      <c r="T2018" s="144">
        <v>42722</v>
      </c>
      <c r="U2018" s="172">
        <f t="shared" si="105"/>
        <v>2016</v>
      </c>
      <c r="V2018" s="172">
        <f t="shared" si="106"/>
        <v>12</v>
      </c>
      <c r="W2018" s="97" t="s">
        <v>386</v>
      </c>
      <c r="X2018" t="s">
        <v>892</v>
      </c>
      <c r="Y2018">
        <v>1</v>
      </c>
      <c r="Z2018" s="13"/>
      <c r="AA2018" s="13">
        <f t="shared" si="104"/>
        <v>240762</v>
      </c>
      <c r="AE2018" s="42"/>
      <c r="AL2018" s="94" t="s">
        <v>819</v>
      </c>
      <c r="AM2018" s="86">
        <v>556034</v>
      </c>
    </row>
    <row r="2019" spans="13:39" hidden="1">
      <c r="M2019" s="141">
        <v>241000</v>
      </c>
      <c r="N2019" s="223">
        <v>321858</v>
      </c>
      <c r="O2019" s="142" t="s">
        <v>244</v>
      </c>
      <c r="P2019" s="142" t="s">
        <v>245</v>
      </c>
      <c r="Q2019" s="143" t="s">
        <v>589</v>
      </c>
      <c r="R2019" s="142" t="s">
        <v>379</v>
      </c>
      <c r="S2019" s="142" t="s">
        <v>801</v>
      </c>
      <c r="T2019" s="144">
        <v>41987</v>
      </c>
      <c r="U2019" s="172">
        <f t="shared" si="105"/>
        <v>2014</v>
      </c>
      <c r="V2019" s="172">
        <f t="shared" si="106"/>
        <v>12</v>
      </c>
      <c r="W2019" s="97" t="s">
        <v>586</v>
      </c>
      <c r="X2019" t="s">
        <v>892</v>
      </c>
      <c r="Y2019" s="41">
        <v>1</v>
      </c>
      <c r="Z2019" s="13"/>
      <c r="AA2019" s="13">
        <f t="shared" si="104"/>
        <v>241000</v>
      </c>
      <c r="AE2019" s="42"/>
      <c r="AL2019" s="94" t="s">
        <v>819</v>
      </c>
      <c r="AM2019" s="86">
        <v>556034</v>
      </c>
    </row>
    <row r="2020" spans="13:39" hidden="1">
      <c r="M2020" s="141">
        <v>241000</v>
      </c>
      <c r="N2020" s="223">
        <v>518339</v>
      </c>
      <c r="O2020" s="142" t="s">
        <v>244</v>
      </c>
      <c r="P2020" s="142" t="s">
        <v>245</v>
      </c>
      <c r="Q2020" s="145">
        <v>183</v>
      </c>
      <c r="R2020" s="142" t="s">
        <v>379</v>
      </c>
      <c r="S2020" s="142" t="s">
        <v>801</v>
      </c>
      <c r="T2020" s="144">
        <v>42722</v>
      </c>
      <c r="U2020" s="172">
        <f t="shared" si="105"/>
        <v>2016</v>
      </c>
      <c r="V2020" s="172">
        <f t="shared" si="106"/>
        <v>12</v>
      </c>
      <c r="W2020" s="97" t="s">
        <v>386</v>
      </c>
      <c r="X2020" t="s">
        <v>892</v>
      </c>
      <c r="Y2020">
        <v>1</v>
      </c>
      <c r="Z2020" s="13"/>
      <c r="AA2020" s="13">
        <f t="shared" si="104"/>
        <v>241000</v>
      </c>
      <c r="AE2020" s="42"/>
      <c r="AL2020" s="94" t="s">
        <v>819</v>
      </c>
      <c r="AM2020" s="86">
        <v>556034</v>
      </c>
    </row>
    <row r="2021" spans="13:39" hidden="1">
      <c r="M2021" s="141">
        <v>241001</v>
      </c>
      <c r="N2021" s="223">
        <v>518339</v>
      </c>
      <c r="O2021" s="142" t="s">
        <v>244</v>
      </c>
      <c r="P2021" s="142" t="s">
        <v>245</v>
      </c>
      <c r="Q2021" s="145">
        <v>196</v>
      </c>
      <c r="R2021" s="142" t="s">
        <v>379</v>
      </c>
      <c r="S2021" s="142" t="s">
        <v>801</v>
      </c>
      <c r="T2021" s="144">
        <v>42722</v>
      </c>
      <c r="U2021" s="172">
        <f t="shared" si="105"/>
        <v>2016</v>
      </c>
      <c r="V2021" s="172">
        <f t="shared" si="106"/>
        <v>12</v>
      </c>
      <c r="W2021" s="97" t="s">
        <v>386</v>
      </c>
      <c r="X2021" t="s">
        <v>892</v>
      </c>
      <c r="Y2021">
        <v>1</v>
      </c>
      <c r="Z2021" s="13"/>
      <c r="AA2021" s="13">
        <f t="shared" si="104"/>
        <v>241001</v>
      </c>
      <c r="AE2021" s="42"/>
      <c r="AL2021" s="94" t="s">
        <v>819</v>
      </c>
      <c r="AM2021" s="86">
        <v>556034</v>
      </c>
    </row>
    <row r="2022" spans="13:39" hidden="1">
      <c r="M2022" s="141">
        <v>241415</v>
      </c>
      <c r="N2022" s="223">
        <v>484888</v>
      </c>
      <c r="O2022" s="142" t="s">
        <v>244</v>
      </c>
      <c r="P2022" s="142" t="s">
        <v>245</v>
      </c>
      <c r="Q2022" s="143" t="s">
        <v>454</v>
      </c>
      <c r="R2022" s="142" t="s">
        <v>379</v>
      </c>
      <c r="S2022" s="142" t="s">
        <v>801</v>
      </c>
      <c r="T2022" s="144">
        <v>42498</v>
      </c>
      <c r="U2022" s="172">
        <f t="shared" si="105"/>
        <v>2016</v>
      </c>
      <c r="V2022" s="172">
        <f t="shared" si="106"/>
        <v>5</v>
      </c>
      <c r="W2022" s="97" t="s">
        <v>445</v>
      </c>
      <c r="X2022" t="s">
        <v>892</v>
      </c>
      <c r="Y2022">
        <v>1</v>
      </c>
      <c r="Z2022" s="13"/>
      <c r="AA2022" s="13">
        <f t="shared" si="104"/>
        <v>241415</v>
      </c>
      <c r="AE2022" s="42"/>
      <c r="AL2022" s="94" t="s">
        <v>819</v>
      </c>
      <c r="AM2022" s="86">
        <v>556034</v>
      </c>
    </row>
    <row r="2023" spans="13:39" hidden="1">
      <c r="M2023" s="141">
        <v>241550</v>
      </c>
      <c r="N2023" s="223">
        <v>435006</v>
      </c>
      <c r="O2023" s="142" t="s">
        <v>244</v>
      </c>
      <c r="P2023" s="142" t="s">
        <v>245</v>
      </c>
      <c r="Q2023" s="143" t="s">
        <v>396</v>
      </c>
      <c r="R2023" s="142" t="s">
        <v>379</v>
      </c>
      <c r="S2023" s="142" t="s">
        <v>801</v>
      </c>
      <c r="T2023" s="144">
        <v>42722</v>
      </c>
      <c r="U2023" s="172">
        <f t="shared" si="105"/>
        <v>2016</v>
      </c>
      <c r="V2023" s="172">
        <f t="shared" si="106"/>
        <v>12</v>
      </c>
      <c r="W2023" s="97" t="s">
        <v>386</v>
      </c>
      <c r="X2023" t="s">
        <v>892</v>
      </c>
      <c r="Y2023">
        <v>1</v>
      </c>
      <c r="Z2023" s="13"/>
      <c r="AA2023" s="13">
        <f t="shared" si="104"/>
        <v>241550</v>
      </c>
      <c r="AE2023" s="42"/>
      <c r="AL2023" s="94" t="s">
        <v>819</v>
      </c>
      <c r="AM2023" s="86">
        <v>556034</v>
      </c>
    </row>
    <row r="2024" spans="13:39" hidden="1">
      <c r="M2024" s="141">
        <v>241900</v>
      </c>
      <c r="N2024" s="223">
        <v>431242</v>
      </c>
      <c r="O2024" s="142" t="s">
        <v>244</v>
      </c>
      <c r="P2024" s="142" t="s">
        <v>245</v>
      </c>
      <c r="Q2024" s="143" t="s">
        <v>437</v>
      </c>
      <c r="R2024" s="142" t="s">
        <v>379</v>
      </c>
      <c r="S2024" s="142" t="s">
        <v>801</v>
      </c>
      <c r="T2024" s="144">
        <v>42722</v>
      </c>
      <c r="U2024" s="172">
        <f t="shared" si="105"/>
        <v>2016</v>
      </c>
      <c r="V2024" s="172">
        <f t="shared" si="106"/>
        <v>12</v>
      </c>
      <c r="W2024" s="97" t="s">
        <v>386</v>
      </c>
      <c r="X2024" t="s">
        <v>892</v>
      </c>
      <c r="Y2024">
        <v>1</v>
      </c>
      <c r="Z2024" s="13"/>
      <c r="AA2024" s="13">
        <f t="shared" si="104"/>
        <v>241900</v>
      </c>
      <c r="AE2024" s="42"/>
      <c r="AL2024" s="94" t="s">
        <v>819</v>
      </c>
      <c r="AM2024" s="86">
        <v>556034</v>
      </c>
    </row>
    <row r="2025" spans="13:39" hidden="1">
      <c r="M2025" s="141">
        <v>242400</v>
      </c>
      <c r="N2025" s="223">
        <v>518440</v>
      </c>
      <c r="O2025" s="142" t="s">
        <v>244</v>
      </c>
      <c r="P2025" s="142" t="s">
        <v>245</v>
      </c>
      <c r="Q2025" s="145">
        <v>193</v>
      </c>
      <c r="R2025" s="142" t="s">
        <v>379</v>
      </c>
      <c r="S2025" s="142" t="s">
        <v>801</v>
      </c>
      <c r="T2025" s="144">
        <v>42722</v>
      </c>
      <c r="U2025" s="172">
        <f t="shared" si="105"/>
        <v>2016</v>
      </c>
      <c r="V2025" s="172">
        <f t="shared" si="106"/>
        <v>12</v>
      </c>
      <c r="W2025" s="97" t="s">
        <v>386</v>
      </c>
      <c r="X2025" t="s">
        <v>892</v>
      </c>
      <c r="Y2025">
        <v>1</v>
      </c>
      <c r="Z2025" s="13"/>
      <c r="AA2025" s="13">
        <f t="shared" si="104"/>
        <v>242400</v>
      </c>
      <c r="AE2025" s="42"/>
      <c r="AL2025" s="94" t="s">
        <v>819</v>
      </c>
      <c r="AM2025" s="86">
        <v>556603</v>
      </c>
    </row>
    <row r="2026" spans="13:39" hidden="1">
      <c r="M2026" s="141">
        <v>242700</v>
      </c>
      <c r="N2026" s="223">
        <v>540752</v>
      </c>
      <c r="O2026" s="142" t="s">
        <v>244</v>
      </c>
      <c r="P2026" s="142" t="s">
        <v>245</v>
      </c>
      <c r="Q2026" s="145">
        <v>116</v>
      </c>
      <c r="R2026" s="142" t="s">
        <v>379</v>
      </c>
      <c r="S2026" s="142" t="s">
        <v>801</v>
      </c>
      <c r="T2026" s="144">
        <v>42169</v>
      </c>
      <c r="U2026" s="172">
        <f t="shared" si="105"/>
        <v>2015</v>
      </c>
      <c r="V2026" s="172">
        <f t="shared" si="106"/>
        <v>6</v>
      </c>
      <c r="W2026" s="97" t="s">
        <v>464</v>
      </c>
      <c r="X2026" t="s">
        <v>892</v>
      </c>
      <c r="Y2026" s="41">
        <v>1</v>
      </c>
      <c r="Z2026" s="13"/>
      <c r="AA2026" s="13">
        <f t="shared" si="104"/>
        <v>242700</v>
      </c>
      <c r="AE2026" s="42"/>
      <c r="AL2026" s="94" t="s">
        <v>819</v>
      </c>
      <c r="AM2026" s="86">
        <v>556603</v>
      </c>
    </row>
    <row r="2027" spans="13:39" hidden="1">
      <c r="M2027" s="141">
        <v>243000</v>
      </c>
      <c r="N2027" s="223">
        <v>431178</v>
      </c>
      <c r="O2027" s="142" t="s">
        <v>244</v>
      </c>
      <c r="P2027" s="142" t="s">
        <v>245</v>
      </c>
      <c r="Q2027" s="143" t="s">
        <v>452</v>
      </c>
      <c r="R2027" s="142" t="s">
        <v>379</v>
      </c>
      <c r="S2027" s="142" t="s">
        <v>801</v>
      </c>
      <c r="T2027" s="144">
        <v>42498</v>
      </c>
      <c r="U2027" s="172">
        <f t="shared" si="105"/>
        <v>2016</v>
      </c>
      <c r="V2027" s="172">
        <f t="shared" si="106"/>
        <v>5</v>
      </c>
      <c r="W2027" s="97" t="s">
        <v>445</v>
      </c>
      <c r="X2027" t="s">
        <v>892</v>
      </c>
      <c r="Y2027">
        <v>1</v>
      </c>
      <c r="Z2027" s="13"/>
      <c r="AA2027" s="13">
        <f t="shared" si="104"/>
        <v>243000</v>
      </c>
      <c r="AE2027" s="42"/>
      <c r="AL2027" s="94" t="s">
        <v>819</v>
      </c>
      <c r="AM2027" s="86">
        <v>557173</v>
      </c>
    </row>
    <row r="2028" spans="13:39" hidden="1">
      <c r="M2028" s="141">
        <v>243792</v>
      </c>
      <c r="N2028" s="223">
        <v>420201</v>
      </c>
      <c r="O2028" s="142" t="s">
        <v>244</v>
      </c>
      <c r="P2028" s="142" t="s">
        <v>245</v>
      </c>
      <c r="Q2028" s="145">
        <v>2</v>
      </c>
      <c r="R2028" s="142" t="s">
        <v>379</v>
      </c>
      <c r="S2028" s="142" t="s">
        <v>801</v>
      </c>
      <c r="T2028" s="144">
        <v>41987</v>
      </c>
      <c r="U2028" s="172">
        <f t="shared" si="105"/>
        <v>2014</v>
      </c>
      <c r="V2028" s="172">
        <f t="shared" si="106"/>
        <v>12</v>
      </c>
      <c r="W2028" s="97" t="s">
        <v>586</v>
      </c>
      <c r="X2028" t="s">
        <v>892</v>
      </c>
      <c r="Y2028" s="41">
        <v>1</v>
      </c>
      <c r="Z2028" s="13"/>
      <c r="AA2028" s="13">
        <f t="shared" si="104"/>
        <v>243792</v>
      </c>
      <c r="AE2028" s="42"/>
      <c r="AL2028" s="94" t="s">
        <v>819</v>
      </c>
      <c r="AM2028" s="86">
        <v>557173</v>
      </c>
    </row>
    <row r="2029" spans="13:39" hidden="1">
      <c r="M2029" s="141">
        <v>245555</v>
      </c>
      <c r="N2029" s="223">
        <v>411506</v>
      </c>
      <c r="O2029" s="142" t="s">
        <v>244</v>
      </c>
      <c r="P2029" s="142" t="s">
        <v>245</v>
      </c>
      <c r="Q2029" s="143" t="s">
        <v>418</v>
      </c>
      <c r="R2029" s="142" t="s">
        <v>379</v>
      </c>
      <c r="S2029" s="142" t="s">
        <v>801</v>
      </c>
      <c r="T2029" s="144">
        <v>42722</v>
      </c>
      <c r="U2029" s="172">
        <f t="shared" si="105"/>
        <v>2016</v>
      </c>
      <c r="V2029" s="172">
        <f t="shared" si="106"/>
        <v>12</v>
      </c>
      <c r="W2029" s="97" t="s">
        <v>386</v>
      </c>
      <c r="X2029" t="s">
        <v>892</v>
      </c>
      <c r="Y2029">
        <v>1</v>
      </c>
      <c r="Z2029" s="13"/>
      <c r="AA2029" s="13">
        <f t="shared" si="104"/>
        <v>245555</v>
      </c>
      <c r="AE2029" s="42"/>
      <c r="AL2029" s="94" t="s">
        <v>819</v>
      </c>
      <c r="AM2029" s="86">
        <v>557173</v>
      </c>
    </row>
    <row r="2030" spans="13:39" hidden="1">
      <c r="M2030" s="141">
        <v>245555</v>
      </c>
      <c r="N2030" s="223">
        <v>518440</v>
      </c>
      <c r="O2030" s="142" t="s">
        <v>244</v>
      </c>
      <c r="P2030" s="142" t="s">
        <v>245</v>
      </c>
      <c r="Q2030" s="145">
        <v>197</v>
      </c>
      <c r="R2030" s="142" t="s">
        <v>379</v>
      </c>
      <c r="S2030" s="142" t="s">
        <v>801</v>
      </c>
      <c r="T2030" s="144">
        <v>42722</v>
      </c>
      <c r="U2030" s="172">
        <f t="shared" si="105"/>
        <v>2016</v>
      </c>
      <c r="V2030" s="172">
        <f t="shared" si="106"/>
        <v>12</v>
      </c>
      <c r="W2030" s="97" t="s">
        <v>386</v>
      </c>
      <c r="X2030" t="s">
        <v>892</v>
      </c>
      <c r="Y2030">
        <v>1</v>
      </c>
      <c r="Z2030" s="13"/>
      <c r="AA2030" s="13">
        <f t="shared" si="104"/>
        <v>245555</v>
      </c>
      <c r="AE2030" s="42"/>
      <c r="AL2030" s="94" t="s">
        <v>819</v>
      </c>
      <c r="AM2030" s="86">
        <v>557173</v>
      </c>
    </row>
    <row r="2031" spans="13:39" hidden="1">
      <c r="M2031" s="141">
        <v>246000</v>
      </c>
      <c r="N2031" s="223">
        <v>322889</v>
      </c>
      <c r="O2031" s="142" t="s">
        <v>244</v>
      </c>
      <c r="P2031" s="142" t="s">
        <v>245</v>
      </c>
      <c r="Q2031" s="143" t="s">
        <v>587</v>
      </c>
      <c r="R2031" s="142" t="s">
        <v>379</v>
      </c>
      <c r="S2031" s="142" t="s">
        <v>801</v>
      </c>
      <c r="T2031" s="144">
        <v>41987</v>
      </c>
      <c r="U2031" s="172">
        <f t="shared" si="105"/>
        <v>2014</v>
      </c>
      <c r="V2031" s="172">
        <f t="shared" si="106"/>
        <v>12</v>
      </c>
      <c r="W2031" s="97" t="s">
        <v>586</v>
      </c>
      <c r="X2031" t="s">
        <v>892</v>
      </c>
      <c r="Y2031" s="41">
        <v>1</v>
      </c>
      <c r="Z2031" s="13"/>
      <c r="AA2031" s="13">
        <f t="shared" si="104"/>
        <v>246000</v>
      </c>
      <c r="AE2031" s="42"/>
      <c r="AL2031" s="94" t="s">
        <v>819</v>
      </c>
      <c r="AM2031" s="86">
        <v>557173</v>
      </c>
    </row>
    <row r="2032" spans="13:39" hidden="1">
      <c r="M2032" s="141">
        <v>246000</v>
      </c>
      <c r="N2032" s="223">
        <v>442958</v>
      </c>
      <c r="O2032" s="142" t="s">
        <v>244</v>
      </c>
      <c r="P2032" s="142" t="s">
        <v>245</v>
      </c>
      <c r="Q2032" s="145">
        <v>137</v>
      </c>
      <c r="R2032" s="142" t="s">
        <v>379</v>
      </c>
      <c r="S2032" s="142" t="s">
        <v>801</v>
      </c>
      <c r="T2032" s="144">
        <v>41763</v>
      </c>
      <c r="U2032" s="172">
        <f t="shared" si="105"/>
        <v>2014</v>
      </c>
      <c r="V2032" s="172">
        <f t="shared" si="106"/>
        <v>5</v>
      </c>
      <c r="W2032" s="97" t="s">
        <v>613</v>
      </c>
      <c r="X2032" t="s">
        <v>892</v>
      </c>
      <c r="Y2032" s="41">
        <v>1</v>
      </c>
      <c r="Z2032" s="13"/>
      <c r="AA2032" s="13">
        <f t="shared" si="104"/>
        <v>246000</v>
      </c>
      <c r="AE2032" s="42"/>
      <c r="AL2032" s="94" t="s">
        <v>819</v>
      </c>
      <c r="AM2032" s="86">
        <v>557173</v>
      </c>
    </row>
    <row r="2033" spans="13:39" hidden="1">
      <c r="M2033" s="141">
        <v>248500</v>
      </c>
      <c r="N2033" s="223">
        <v>435006</v>
      </c>
      <c r="O2033" s="142" t="s">
        <v>244</v>
      </c>
      <c r="P2033" s="142" t="s">
        <v>245</v>
      </c>
      <c r="Q2033" s="143" t="s">
        <v>395</v>
      </c>
      <c r="R2033" s="142" t="s">
        <v>379</v>
      </c>
      <c r="S2033" s="142" t="s">
        <v>801</v>
      </c>
      <c r="T2033" s="144">
        <v>42722</v>
      </c>
      <c r="U2033" s="172">
        <f t="shared" si="105"/>
        <v>2016</v>
      </c>
      <c r="V2033" s="172">
        <f t="shared" si="106"/>
        <v>12</v>
      </c>
      <c r="W2033" s="97" t="s">
        <v>386</v>
      </c>
      <c r="X2033" t="s">
        <v>892</v>
      </c>
      <c r="Y2033">
        <v>1</v>
      </c>
      <c r="Z2033" s="13"/>
      <c r="AA2033" s="13">
        <f t="shared" si="104"/>
        <v>248500</v>
      </c>
      <c r="AE2033" s="42"/>
      <c r="AL2033" s="94" t="s">
        <v>819</v>
      </c>
      <c r="AM2033" s="86">
        <v>557742</v>
      </c>
    </row>
    <row r="2034" spans="13:39" hidden="1">
      <c r="M2034" s="141">
        <v>250250</v>
      </c>
      <c r="N2034" s="223">
        <v>669462</v>
      </c>
      <c r="O2034" s="142" t="s">
        <v>244</v>
      </c>
      <c r="P2034" s="142" t="s">
        <v>245</v>
      </c>
      <c r="Q2034" s="145">
        <v>110</v>
      </c>
      <c r="R2034" s="142" t="s">
        <v>379</v>
      </c>
      <c r="S2034" s="142" t="s">
        <v>801</v>
      </c>
      <c r="T2034" s="144">
        <v>42169</v>
      </c>
      <c r="U2034" s="172">
        <f t="shared" si="105"/>
        <v>2015</v>
      </c>
      <c r="V2034" s="172">
        <f t="shared" si="106"/>
        <v>6</v>
      </c>
      <c r="W2034" s="97" t="s">
        <v>464</v>
      </c>
      <c r="X2034" t="s">
        <v>892</v>
      </c>
      <c r="Y2034" s="41">
        <v>1</v>
      </c>
      <c r="Z2034" s="13"/>
      <c r="AA2034" s="13">
        <f t="shared" si="104"/>
        <v>250250</v>
      </c>
      <c r="AE2034" s="42"/>
      <c r="AL2034" s="94" t="s">
        <v>819</v>
      </c>
      <c r="AM2034" s="86">
        <v>557742</v>
      </c>
    </row>
    <row r="2035" spans="13:39" hidden="1">
      <c r="M2035" s="141">
        <v>251113</v>
      </c>
      <c r="N2035" s="223">
        <v>918887</v>
      </c>
      <c r="O2035" s="142" t="s">
        <v>244</v>
      </c>
      <c r="P2035" s="142" t="s">
        <v>245</v>
      </c>
      <c r="Q2035" s="145">
        <v>76</v>
      </c>
      <c r="R2035" s="142" t="s">
        <v>438</v>
      </c>
      <c r="S2035" s="142" t="s">
        <v>801</v>
      </c>
      <c r="T2035" s="144">
        <v>42715</v>
      </c>
      <c r="U2035" s="172">
        <f t="shared" si="105"/>
        <v>2016</v>
      </c>
      <c r="V2035" s="172">
        <f t="shared" si="106"/>
        <v>12</v>
      </c>
      <c r="W2035" s="97" t="s">
        <v>439</v>
      </c>
      <c r="X2035" t="s">
        <v>894</v>
      </c>
      <c r="Y2035">
        <v>1</v>
      </c>
      <c r="Z2035" s="13"/>
      <c r="AA2035" s="13">
        <f t="shared" si="104"/>
        <v>251113</v>
      </c>
      <c r="AE2035" s="42"/>
      <c r="AL2035" s="94" t="s">
        <v>819</v>
      </c>
      <c r="AM2035" s="86">
        <v>557742</v>
      </c>
    </row>
    <row r="2036" spans="13:39" hidden="1">
      <c r="M2036" s="141">
        <v>251590</v>
      </c>
      <c r="N2036" s="223">
        <v>515146</v>
      </c>
      <c r="O2036" s="142" t="s">
        <v>244</v>
      </c>
      <c r="P2036" s="142" t="s">
        <v>245</v>
      </c>
      <c r="Q2036" s="145">
        <v>486</v>
      </c>
      <c r="R2036" s="142" t="s">
        <v>379</v>
      </c>
      <c r="S2036" s="142" t="s">
        <v>801</v>
      </c>
      <c r="T2036" s="144">
        <v>42722</v>
      </c>
      <c r="U2036" s="172">
        <f t="shared" si="105"/>
        <v>2016</v>
      </c>
      <c r="V2036" s="172">
        <f t="shared" si="106"/>
        <v>12</v>
      </c>
      <c r="W2036" s="97" t="s">
        <v>386</v>
      </c>
      <c r="X2036" t="s">
        <v>892</v>
      </c>
      <c r="Y2036">
        <v>1</v>
      </c>
      <c r="Z2036" s="13"/>
      <c r="AA2036" s="13">
        <f t="shared" si="104"/>
        <v>251590</v>
      </c>
      <c r="AE2036" s="42"/>
      <c r="AL2036" s="88" t="s">
        <v>819</v>
      </c>
      <c r="AM2036" s="86">
        <v>558129</v>
      </c>
    </row>
    <row r="2037" spans="13:39" hidden="1">
      <c r="M2037" s="141">
        <v>252252</v>
      </c>
      <c r="N2037" s="223">
        <v>513323</v>
      </c>
      <c r="O2037" s="142" t="s">
        <v>244</v>
      </c>
      <c r="P2037" s="142" t="s">
        <v>245</v>
      </c>
      <c r="Q2037" s="145">
        <v>386</v>
      </c>
      <c r="R2037" s="142" t="s">
        <v>379</v>
      </c>
      <c r="S2037" s="142" t="s">
        <v>801</v>
      </c>
      <c r="T2037" s="144">
        <v>42722</v>
      </c>
      <c r="U2037" s="172">
        <f t="shared" si="105"/>
        <v>2016</v>
      </c>
      <c r="V2037" s="172">
        <f t="shared" si="106"/>
        <v>12</v>
      </c>
      <c r="W2037" s="97" t="s">
        <v>386</v>
      </c>
      <c r="X2037" t="s">
        <v>892</v>
      </c>
      <c r="Y2037">
        <v>1</v>
      </c>
      <c r="Z2037" s="13"/>
      <c r="AA2037" s="13">
        <f t="shared" si="104"/>
        <v>252252</v>
      </c>
      <c r="AE2037" s="42"/>
      <c r="AL2037" s="88" t="s">
        <v>819</v>
      </c>
      <c r="AM2037" s="86">
        <v>558193</v>
      </c>
    </row>
    <row r="2038" spans="13:39" hidden="1">
      <c r="M2038" s="141">
        <v>252595</v>
      </c>
      <c r="N2038" s="223">
        <v>520024</v>
      </c>
      <c r="O2038" s="142" t="s">
        <v>244</v>
      </c>
      <c r="P2038" s="142" t="s">
        <v>245</v>
      </c>
      <c r="Q2038" s="145">
        <v>553</v>
      </c>
      <c r="R2038" s="142" t="s">
        <v>379</v>
      </c>
      <c r="S2038" s="142" t="s">
        <v>801</v>
      </c>
      <c r="T2038" s="144">
        <v>42722</v>
      </c>
      <c r="U2038" s="172">
        <f t="shared" si="105"/>
        <v>2016</v>
      </c>
      <c r="V2038" s="172">
        <f t="shared" si="106"/>
        <v>12</v>
      </c>
      <c r="W2038" s="97" t="s">
        <v>386</v>
      </c>
      <c r="X2038" t="s">
        <v>892</v>
      </c>
      <c r="Y2038">
        <v>1</v>
      </c>
      <c r="Z2038" s="13"/>
      <c r="AA2038" s="13">
        <f t="shared" si="104"/>
        <v>252595</v>
      </c>
      <c r="AE2038" s="42"/>
      <c r="AL2038" s="94" t="s">
        <v>819</v>
      </c>
      <c r="AM2038" s="86">
        <v>558313</v>
      </c>
    </row>
    <row r="2039" spans="13:39" hidden="1">
      <c r="M2039" s="141">
        <v>253200</v>
      </c>
      <c r="N2039" s="223">
        <v>518440</v>
      </c>
      <c r="O2039" s="142" t="s">
        <v>244</v>
      </c>
      <c r="P2039" s="142" t="s">
        <v>245</v>
      </c>
      <c r="Q2039" s="145">
        <v>192</v>
      </c>
      <c r="R2039" s="142" t="s">
        <v>379</v>
      </c>
      <c r="S2039" s="142" t="s">
        <v>801</v>
      </c>
      <c r="T2039" s="144">
        <v>42722</v>
      </c>
      <c r="U2039" s="172">
        <f t="shared" si="105"/>
        <v>2016</v>
      </c>
      <c r="V2039" s="172">
        <f t="shared" si="106"/>
        <v>12</v>
      </c>
      <c r="W2039" s="97" t="s">
        <v>386</v>
      </c>
      <c r="X2039" t="s">
        <v>892</v>
      </c>
      <c r="Y2039">
        <v>1</v>
      </c>
      <c r="Z2039" s="13"/>
      <c r="AA2039" s="13">
        <f t="shared" si="104"/>
        <v>253200</v>
      </c>
      <c r="AE2039" s="42"/>
      <c r="AL2039" s="94" t="s">
        <v>819</v>
      </c>
      <c r="AM2039" s="86">
        <v>558313</v>
      </c>
    </row>
    <row r="2040" spans="13:39" hidden="1">
      <c r="M2040" s="141">
        <v>253600</v>
      </c>
      <c r="N2040" s="223">
        <v>420201</v>
      </c>
      <c r="O2040" s="142" t="s">
        <v>244</v>
      </c>
      <c r="P2040" s="142" t="s">
        <v>245</v>
      </c>
      <c r="Q2040" s="145">
        <v>3</v>
      </c>
      <c r="R2040" s="142" t="s">
        <v>379</v>
      </c>
      <c r="S2040" s="142" t="s">
        <v>801</v>
      </c>
      <c r="T2040" s="144">
        <v>41987</v>
      </c>
      <c r="U2040" s="172">
        <f t="shared" si="105"/>
        <v>2014</v>
      </c>
      <c r="V2040" s="172">
        <f t="shared" si="106"/>
        <v>12</v>
      </c>
      <c r="W2040" s="97" t="s">
        <v>586</v>
      </c>
      <c r="X2040" t="s">
        <v>892</v>
      </c>
      <c r="Y2040" s="41">
        <v>1</v>
      </c>
      <c r="Z2040" s="13"/>
      <c r="AA2040" s="13">
        <f t="shared" si="104"/>
        <v>253600</v>
      </c>
      <c r="AE2040" s="42"/>
      <c r="AL2040" s="94" t="s">
        <v>819</v>
      </c>
      <c r="AM2040" s="86">
        <v>558313</v>
      </c>
    </row>
    <row r="2041" spans="13:39" hidden="1">
      <c r="M2041" s="141">
        <v>253800</v>
      </c>
      <c r="N2041" s="223">
        <v>513323</v>
      </c>
      <c r="O2041" s="142" t="s">
        <v>244</v>
      </c>
      <c r="P2041" s="142" t="s">
        <v>245</v>
      </c>
      <c r="Q2041" s="145">
        <v>384</v>
      </c>
      <c r="R2041" s="142" t="s">
        <v>379</v>
      </c>
      <c r="S2041" s="142" t="s">
        <v>801</v>
      </c>
      <c r="T2041" s="144">
        <v>42722</v>
      </c>
      <c r="U2041" s="172">
        <f t="shared" si="105"/>
        <v>2016</v>
      </c>
      <c r="V2041" s="172">
        <f t="shared" si="106"/>
        <v>12</v>
      </c>
      <c r="W2041" s="97" t="s">
        <v>386</v>
      </c>
      <c r="X2041" t="s">
        <v>892</v>
      </c>
      <c r="Y2041">
        <v>1</v>
      </c>
      <c r="Z2041" s="13"/>
      <c r="AA2041" s="13">
        <f t="shared" si="104"/>
        <v>253800</v>
      </c>
      <c r="AE2041" s="42"/>
      <c r="AL2041" s="94" t="s">
        <v>819</v>
      </c>
      <c r="AM2041" s="86">
        <v>558881</v>
      </c>
    </row>
    <row r="2042" spans="13:39" hidden="1">
      <c r="M2042" s="141">
        <v>255000</v>
      </c>
      <c r="N2042" s="223">
        <v>411711</v>
      </c>
      <c r="O2042" s="142" t="s">
        <v>244</v>
      </c>
      <c r="P2042" s="142" t="s">
        <v>245</v>
      </c>
      <c r="Q2042" s="143" t="s">
        <v>414</v>
      </c>
      <c r="R2042" s="142" t="s">
        <v>379</v>
      </c>
      <c r="S2042" s="142" t="s">
        <v>801</v>
      </c>
      <c r="T2042" s="144">
        <v>42722</v>
      </c>
      <c r="U2042" s="172">
        <f t="shared" si="105"/>
        <v>2016</v>
      </c>
      <c r="V2042" s="172">
        <f t="shared" si="106"/>
        <v>12</v>
      </c>
      <c r="W2042" s="97" t="s">
        <v>386</v>
      </c>
      <c r="X2042" t="s">
        <v>892</v>
      </c>
      <c r="Y2042">
        <v>1</v>
      </c>
      <c r="Z2042" s="13"/>
      <c r="AA2042" s="13">
        <f t="shared" si="104"/>
        <v>255000</v>
      </c>
      <c r="AE2042" s="42"/>
      <c r="AL2042" s="94" t="s">
        <v>819</v>
      </c>
      <c r="AM2042" s="86">
        <v>558881</v>
      </c>
    </row>
    <row r="2043" spans="13:39" hidden="1">
      <c r="M2043" s="141">
        <v>255000</v>
      </c>
      <c r="N2043" s="223">
        <v>435006</v>
      </c>
      <c r="O2043" s="142" t="s">
        <v>244</v>
      </c>
      <c r="P2043" s="142" t="s">
        <v>245</v>
      </c>
      <c r="Q2043" s="143" t="s">
        <v>429</v>
      </c>
      <c r="R2043" s="142" t="s">
        <v>379</v>
      </c>
      <c r="S2043" s="142" t="s">
        <v>801</v>
      </c>
      <c r="T2043" s="144">
        <v>42722</v>
      </c>
      <c r="U2043" s="172">
        <f t="shared" si="105"/>
        <v>2016</v>
      </c>
      <c r="V2043" s="172">
        <f t="shared" si="106"/>
        <v>12</v>
      </c>
      <c r="W2043" s="97" t="s">
        <v>386</v>
      </c>
      <c r="X2043" t="s">
        <v>892</v>
      </c>
      <c r="Y2043">
        <v>1</v>
      </c>
      <c r="Z2043" s="13"/>
      <c r="AA2043" s="13">
        <f t="shared" si="104"/>
        <v>255000</v>
      </c>
      <c r="AE2043" s="42"/>
      <c r="AL2043" s="94" t="s">
        <v>819</v>
      </c>
      <c r="AM2043" s="86">
        <v>558881</v>
      </c>
    </row>
    <row r="2044" spans="13:39" hidden="1">
      <c r="M2044" s="141">
        <v>255024</v>
      </c>
      <c r="N2044" s="223">
        <v>450200</v>
      </c>
      <c r="O2044" s="142" t="s">
        <v>244</v>
      </c>
      <c r="P2044" s="142" t="s">
        <v>245</v>
      </c>
      <c r="Q2044" s="145">
        <v>150</v>
      </c>
      <c r="R2044" s="142" t="s">
        <v>379</v>
      </c>
      <c r="S2044" s="142" t="s">
        <v>801</v>
      </c>
      <c r="T2044" s="144">
        <v>41763</v>
      </c>
      <c r="U2044" s="172">
        <f t="shared" si="105"/>
        <v>2014</v>
      </c>
      <c r="V2044" s="172">
        <f t="shared" si="106"/>
        <v>5</v>
      </c>
      <c r="W2044" s="97" t="s">
        <v>613</v>
      </c>
      <c r="X2044" t="s">
        <v>892</v>
      </c>
      <c r="Y2044" s="41">
        <v>1</v>
      </c>
      <c r="Z2044" s="13"/>
      <c r="AA2044" s="13">
        <f t="shared" si="104"/>
        <v>255024</v>
      </c>
      <c r="AE2044" s="42"/>
      <c r="AL2044" s="94" t="s">
        <v>819</v>
      </c>
      <c r="AM2044" s="86">
        <v>559450</v>
      </c>
    </row>
    <row r="2045" spans="13:39" hidden="1">
      <c r="M2045" s="141">
        <v>255607</v>
      </c>
      <c r="N2045" s="223">
        <v>466863</v>
      </c>
      <c r="O2045" s="142" t="s">
        <v>244</v>
      </c>
      <c r="P2045" s="142" t="s">
        <v>245</v>
      </c>
      <c r="Q2045" s="145">
        <v>153</v>
      </c>
      <c r="R2045" s="142" t="s">
        <v>379</v>
      </c>
      <c r="S2045" s="142" t="s">
        <v>801</v>
      </c>
      <c r="T2045" s="144">
        <v>42169</v>
      </c>
      <c r="U2045" s="172">
        <f t="shared" si="105"/>
        <v>2015</v>
      </c>
      <c r="V2045" s="172">
        <f t="shared" si="106"/>
        <v>6</v>
      </c>
      <c r="W2045" s="97" t="s">
        <v>464</v>
      </c>
      <c r="X2045" t="s">
        <v>892</v>
      </c>
      <c r="Y2045" s="41">
        <v>1</v>
      </c>
      <c r="Z2045" s="13"/>
      <c r="AA2045" s="13">
        <f t="shared" si="104"/>
        <v>255607</v>
      </c>
      <c r="AE2045" s="42"/>
      <c r="AL2045" s="94" t="s">
        <v>819</v>
      </c>
      <c r="AM2045" s="86">
        <v>559450</v>
      </c>
    </row>
    <row r="2046" spans="13:39" hidden="1">
      <c r="M2046" s="141">
        <v>255994</v>
      </c>
      <c r="N2046" s="223">
        <v>518845</v>
      </c>
      <c r="O2046" s="142" t="s">
        <v>244</v>
      </c>
      <c r="P2046" s="142" t="s">
        <v>245</v>
      </c>
      <c r="Q2046" s="145">
        <v>198</v>
      </c>
      <c r="R2046" s="142" t="s">
        <v>379</v>
      </c>
      <c r="S2046" s="142" t="s">
        <v>801</v>
      </c>
      <c r="T2046" s="144">
        <v>42722</v>
      </c>
      <c r="U2046" s="172">
        <f t="shared" si="105"/>
        <v>2016</v>
      </c>
      <c r="V2046" s="172">
        <f t="shared" si="106"/>
        <v>12</v>
      </c>
      <c r="W2046" s="97" t="s">
        <v>386</v>
      </c>
      <c r="X2046" t="s">
        <v>892</v>
      </c>
      <c r="Y2046">
        <v>1</v>
      </c>
      <c r="Z2046" s="13"/>
      <c r="AA2046" s="13">
        <f t="shared" si="104"/>
        <v>255994</v>
      </c>
      <c r="AE2046" s="42"/>
      <c r="AL2046" s="94" t="s">
        <v>819</v>
      </c>
      <c r="AM2046" s="86">
        <v>559450</v>
      </c>
    </row>
    <row r="2047" spans="13:39" hidden="1">
      <c r="M2047" s="141">
        <v>256500</v>
      </c>
      <c r="N2047" s="223">
        <v>396048</v>
      </c>
      <c r="O2047" s="142" t="s">
        <v>244</v>
      </c>
      <c r="P2047" s="142" t="s">
        <v>245</v>
      </c>
      <c r="Q2047" s="145">
        <v>116</v>
      </c>
      <c r="R2047" s="142" t="s">
        <v>379</v>
      </c>
      <c r="S2047" s="142" t="s">
        <v>801</v>
      </c>
      <c r="T2047" s="144">
        <v>41763</v>
      </c>
      <c r="U2047" s="172">
        <f t="shared" si="105"/>
        <v>2014</v>
      </c>
      <c r="V2047" s="172">
        <f t="shared" si="106"/>
        <v>5</v>
      </c>
      <c r="W2047" s="97" t="s">
        <v>613</v>
      </c>
      <c r="X2047" t="s">
        <v>892</v>
      </c>
      <c r="Y2047" s="41">
        <v>1</v>
      </c>
      <c r="Z2047" s="13"/>
      <c r="AA2047" s="13">
        <f t="shared" si="104"/>
        <v>256500</v>
      </c>
      <c r="AE2047" s="42"/>
      <c r="AL2047" s="94" t="s">
        <v>819</v>
      </c>
      <c r="AM2047" s="86">
        <v>559450</v>
      </c>
    </row>
    <row r="2048" spans="13:39" hidden="1">
      <c r="M2048" s="141">
        <v>256777</v>
      </c>
      <c r="N2048" s="223">
        <v>396999</v>
      </c>
      <c r="O2048" s="142" t="s">
        <v>244</v>
      </c>
      <c r="P2048" s="142" t="s">
        <v>245</v>
      </c>
      <c r="Q2048" s="143" t="s">
        <v>450</v>
      </c>
      <c r="R2048" s="142" t="s">
        <v>379</v>
      </c>
      <c r="S2048" s="142" t="s">
        <v>801</v>
      </c>
      <c r="T2048" s="144">
        <v>42498</v>
      </c>
      <c r="U2048" s="172">
        <f t="shared" si="105"/>
        <v>2016</v>
      </c>
      <c r="V2048" s="172">
        <f t="shared" si="106"/>
        <v>5</v>
      </c>
      <c r="W2048" s="97" t="s">
        <v>445</v>
      </c>
      <c r="X2048" t="s">
        <v>892</v>
      </c>
      <c r="Y2048">
        <v>1</v>
      </c>
      <c r="Z2048" s="13"/>
      <c r="AA2048" s="13">
        <f t="shared" si="104"/>
        <v>256777</v>
      </c>
      <c r="AE2048" s="42"/>
      <c r="AL2048" s="94" t="s">
        <v>819</v>
      </c>
      <c r="AM2048" s="86">
        <v>559450</v>
      </c>
    </row>
    <row r="2049" spans="13:39" hidden="1">
      <c r="M2049" s="141">
        <v>257191</v>
      </c>
      <c r="N2049" s="223">
        <v>445984</v>
      </c>
      <c r="O2049" s="142" t="s">
        <v>244</v>
      </c>
      <c r="P2049" s="142" t="s">
        <v>245</v>
      </c>
      <c r="Q2049" s="145">
        <v>149</v>
      </c>
      <c r="R2049" s="142" t="s">
        <v>379</v>
      </c>
      <c r="S2049" s="142" t="s">
        <v>801</v>
      </c>
      <c r="T2049" s="144">
        <v>41763</v>
      </c>
      <c r="U2049" s="172">
        <f t="shared" si="105"/>
        <v>2014</v>
      </c>
      <c r="V2049" s="172">
        <f t="shared" si="106"/>
        <v>5</v>
      </c>
      <c r="W2049" s="97" t="s">
        <v>613</v>
      </c>
      <c r="X2049" t="s">
        <v>892</v>
      </c>
      <c r="Y2049" s="41">
        <v>1</v>
      </c>
      <c r="Z2049" s="13"/>
      <c r="AA2049" s="13">
        <f t="shared" si="104"/>
        <v>257191</v>
      </c>
      <c r="AE2049" s="42"/>
      <c r="AL2049" s="94" t="s">
        <v>819</v>
      </c>
      <c r="AM2049" s="86">
        <v>559450</v>
      </c>
    </row>
    <row r="2050" spans="13:39" hidden="1">
      <c r="M2050" s="141">
        <v>258610</v>
      </c>
      <c r="N2050" s="223">
        <v>411506</v>
      </c>
      <c r="O2050" s="142" t="s">
        <v>244</v>
      </c>
      <c r="P2050" s="142" t="s">
        <v>245</v>
      </c>
      <c r="Q2050" s="143" t="s">
        <v>416</v>
      </c>
      <c r="R2050" s="142" t="s">
        <v>379</v>
      </c>
      <c r="S2050" s="142" t="s">
        <v>801</v>
      </c>
      <c r="T2050" s="144">
        <v>42722</v>
      </c>
      <c r="U2050" s="172">
        <f t="shared" si="105"/>
        <v>2016</v>
      </c>
      <c r="V2050" s="172">
        <f t="shared" si="106"/>
        <v>12</v>
      </c>
      <c r="W2050" s="97" t="s">
        <v>386</v>
      </c>
      <c r="X2050" t="s">
        <v>892</v>
      </c>
      <c r="Y2050">
        <v>1</v>
      </c>
      <c r="Z2050" s="13"/>
      <c r="AA2050" s="13">
        <f t="shared" si="104"/>
        <v>258610</v>
      </c>
      <c r="AE2050" s="42"/>
      <c r="AL2050" s="88" t="s">
        <v>819</v>
      </c>
      <c r="AM2050" s="86">
        <v>559723</v>
      </c>
    </row>
    <row r="2051" spans="13:39" hidden="1">
      <c r="M2051" s="141">
        <v>258975</v>
      </c>
      <c r="N2051" s="223">
        <v>537706</v>
      </c>
      <c r="O2051" s="142" t="s">
        <v>244</v>
      </c>
      <c r="P2051" s="142" t="s">
        <v>245</v>
      </c>
      <c r="Q2051" s="145">
        <v>566</v>
      </c>
      <c r="R2051" s="142" t="s">
        <v>379</v>
      </c>
      <c r="S2051" s="142" t="s">
        <v>801</v>
      </c>
      <c r="T2051" s="144">
        <v>42722</v>
      </c>
      <c r="U2051" s="172">
        <f t="shared" si="105"/>
        <v>2016</v>
      </c>
      <c r="V2051" s="172">
        <f t="shared" si="106"/>
        <v>12</v>
      </c>
      <c r="W2051" s="97" t="s">
        <v>386</v>
      </c>
      <c r="X2051" t="s">
        <v>892</v>
      </c>
      <c r="Y2051">
        <v>1</v>
      </c>
      <c r="Z2051" s="13"/>
      <c r="AA2051" s="13">
        <f t="shared" si="104"/>
        <v>258975</v>
      </c>
      <c r="AE2051" s="42"/>
      <c r="AL2051" s="94" t="s">
        <v>819</v>
      </c>
      <c r="AM2051" s="86">
        <v>560021</v>
      </c>
    </row>
    <row r="2052" spans="13:39" hidden="1">
      <c r="M2052" s="141">
        <v>259950</v>
      </c>
      <c r="N2052" s="223">
        <v>869513</v>
      </c>
      <c r="O2052" s="142" t="s">
        <v>244</v>
      </c>
      <c r="P2052" s="142" t="s">
        <v>245</v>
      </c>
      <c r="Q2052" s="145">
        <v>73</v>
      </c>
      <c r="R2052" s="142" t="s">
        <v>438</v>
      </c>
      <c r="S2052" s="142" t="s">
        <v>801</v>
      </c>
      <c r="T2052" s="144">
        <v>42715</v>
      </c>
      <c r="U2052" s="172">
        <f t="shared" si="105"/>
        <v>2016</v>
      </c>
      <c r="V2052" s="172">
        <f t="shared" si="106"/>
        <v>12</v>
      </c>
      <c r="W2052" s="97" t="s">
        <v>439</v>
      </c>
      <c r="X2052" t="s">
        <v>894</v>
      </c>
      <c r="Y2052">
        <v>1</v>
      </c>
      <c r="Z2052" s="13"/>
      <c r="AA2052" s="13">
        <f t="shared" ref="AA2052:AA2115" si="107">IF(M2052&lt;30000,Y2052*100*M2052*(1-$L$1)-$L$2*Y2052,M2052)</f>
        <v>259950</v>
      </c>
      <c r="AE2052" s="42"/>
      <c r="AL2052" s="94" t="s">
        <v>819</v>
      </c>
      <c r="AM2052" s="86">
        <v>560021</v>
      </c>
    </row>
    <row r="2053" spans="13:39" hidden="1">
      <c r="M2053" s="141">
        <v>259974</v>
      </c>
      <c r="N2053" s="223">
        <v>520024</v>
      </c>
      <c r="O2053" s="142" t="s">
        <v>244</v>
      </c>
      <c r="P2053" s="142" t="s">
        <v>245</v>
      </c>
      <c r="Q2053" s="145">
        <v>555</v>
      </c>
      <c r="R2053" s="142" t="s">
        <v>379</v>
      </c>
      <c r="S2053" s="142" t="s">
        <v>801</v>
      </c>
      <c r="T2053" s="144">
        <v>42722</v>
      </c>
      <c r="U2053" s="172">
        <f t="shared" si="105"/>
        <v>2016</v>
      </c>
      <c r="V2053" s="172">
        <f t="shared" si="106"/>
        <v>12</v>
      </c>
      <c r="W2053" s="97" t="s">
        <v>386</v>
      </c>
      <c r="X2053" t="s">
        <v>892</v>
      </c>
      <c r="Y2053">
        <v>1</v>
      </c>
      <c r="Z2053" s="13"/>
      <c r="AA2053" s="13">
        <f t="shared" si="107"/>
        <v>259974</v>
      </c>
      <c r="AE2053" s="42"/>
      <c r="AL2053" s="94" t="s">
        <v>819</v>
      </c>
      <c r="AM2053" s="86">
        <v>560021</v>
      </c>
    </row>
    <row r="2054" spans="13:39" hidden="1">
      <c r="M2054" s="141">
        <v>260000</v>
      </c>
      <c r="N2054" s="223">
        <v>514231</v>
      </c>
      <c r="O2054" s="142" t="s">
        <v>244</v>
      </c>
      <c r="P2054" s="142" t="s">
        <v>245</v>
      </c>
      <c r="Q2054" s="145">
        <v>542</v>
      </c>
      <c r="R2054" s="142" t="s">
        <v>379</v>
      </c>
      <c r="S2054" s="142" t="s">
        <v>801</v>
      </c>
      <c r="T2054" s="144">
        <v>42722</v>
      </c>
      <c r="U2054" s="172">
        <f t="shared" si="105"/>
        <v>2016</v>
      </c>
      <c r="V2054" s="172">
        <f t="shared" si="106"/>
        <v>12</v>
      </c>
      <c r="W2054" s="97" t="s">
        <v>386</v>
      </c>
      <c r="X2054" t="s">
        <v>892</v>
      </c>
      <c r="Y2054">
        <v>1</v>
      </c>
      <c r="Z2054" s="13"/>
      <c r="AA2054" s="13">
        <f t="shared" si="107"/>
        <v>260000</v>
      </c>
      <c r="AE2054" s="42"/>
      <c r="AL2054" s="94" t="s">
        <v>819</v>
      </c>
      <c r="AM2054" s="86">
        <v>560021</v>
      </c>
    </row>
    <row r="2055" spans="13:39" hidden="1">
      <c r="M2055" s="141">
        <v>260999</v>
      </c>
      <c r="N2055" s="223">
        <v>520024</v>
      </c>
      <c r="O2055" s="142" t="s">
        <v>244</v>
      </c>
      <c r="P2055" s="142" t="s">
        <v>245</v>
      </c>
      <c r="Q2055" s="145">
        <v>556</v>
      </c>
      <c r="R2055" s="142" t="s">
        <v>379</v>
      </c>
      <c r="S2055" s="142" t="s">
        <v>801</v>
      </c>
      <c r="T2055" s="144">
        <v>42722</v>
      </c>
      <c r="U2055" s="172">
        <f t="shared" ref="U2055:U2118" si="108">YEAR($T2055)</f>
        <v>2016</v>
      </c>
      <c r="V2055" s="172">
        <f t="shared" ref="V2055:V2118" si="109">MONTH($T2055)</f>
        <v>12</v>
      </c>
      <c r="W2055" s="97" t="s">
        <v>386</v>
      </c>
      <c r="X2055" t="s">
        <v>892</v>
      </c>
      <c r="Y2055">
        <v>1</v>
      </c>
      <c r="Z2055" s="13"/>
      <c r="AA2055" s="13">
        <f t="shared" si="107"/>
        <v>260999</v>
      </c>
      <c r="AE2055" s="42"/>
      <c r="AL2055" s="94" t="s">
        <v>819</v>
      </c>
      <c r="AM2055" s="86">
        <v>560021</v>
      </c>
    </row>
    <row r="2056" spans="13:39" hidden="1">
      <c r="M2056" s="141">
        <v>261700</v>
      </c>
      <c r="N2056" s="222">
        <v>857664</v>
      </c>
      <c r="O2056" s="142" t="s">
        <v>244</v>
      </c>
      <c r="P2056" s="142" t="s">
        <v>245</v>
      </c>
      <c r="Q2056" s="145">
        <v>74</v>
      </c>
      <c r="R2056" s="142" t="s">
        <v>438</v>
      </c>
      <c r="S2056" s="142" t="s">
        <v>801</v>
      </c>
      <c r="T2056" s="144">
        <v>42715</v>
      </c>
      <c r="U2056" s="172">
        <f t="shared" si="108"/>
        <v>2016</v>
      </c>
      <c r="V2056" s="172">
        <f t="shared" si="109"/>
        <v>12</v>
      </c>
      <c r="W2056" s="97" t="s">
        <v>439</v>
      </c>
      <c r="X2056" t="s">
        <v>894</v>
      </c>
      <c r="Y2056">
        <v>1</v>
      </c>
      <c r="Z2056" s="13"/>
      <c r="AA2056" s="13">
        <f t="shared" si="107"/>
        <v>261700</v>
      </c>
      <c r="AE2056" s="42"/>
      <c r="AL2056" s="94" t="s">
        <v>819</v>
      </c>
      <c r="AM2056" s="86">
        <v>560021</v>
      </c>
    </row>
    <row r="2057" spans="13:39" hidden="1">
      <c r="M2057" s="141">
        <v>263520</v>
      </c>
      <c r="N2057" s="222">
        <v>518440</v>
      </c>
      <c r="O2057" s="142" t="s">
        <v>244</v>
      </c>
      <c r="P2057" s="142" t="s">
        <v>245</v>
      </c>
      <c r="Q2057" s="145">
        <v>283</v>
      </c>
      <c r="R2057" s="142" t="s">
        <v>379</v>
      </c>
      <c r="S2057" s="142" t="s">
        <v>801</v>
      </c>
      <c r="T2057" s="144">
        <v>42722</v>
      </c>
      <c r="U2057" s="172">
        <f t="shared" si="108"/>
        <v>2016</v>
      </c>
      <c r="V2057" s="172">
        <f t="shared" si="109"/>
        <v>12</v>
      </c>
      <c r="W2057" s="97" t="s">
        <v>386</v>
      </c>
      <c r="X2057" t="s">
        <v>892</v>
      </c>
      <c r="Y2057">
        <v>1</v>
      </c>
      <c r="Z2057" s="13"/>
      <c r="AA2057" s="13">
        <f t="shared" si="107"/>
        <v>263520</v>
      </c>
      <c r="AE2057" s="42"/>
      <c r="AL2057" s="94" t="s">
        <v>819</v>
      </c>
      <c r="AM2057" s="86">
        <v>560021</v>
      </c>
    </row>
    <row r="2058" spans="13:39" hidden="1">
      <c r="M2058" s="141">
        <v>264250</v>
      </c>
      <c r="N2058" s="222">
        <v>903087</v>
      </c>
      <c r="O2058" s="142" t="s">
        <v>244</v>
      </c>
      <c r="P2058" s="142" t="s">
        <v>245</v>
      </c>
      <c r="Q2058" s="145">
        <v>75</v>
      </c>
      <c r="R2058" s="142" t="s">
        <v>438</v>
      </c>
      <c r="S2058" s="142" t="s">
        <v>801</v>
      </c>
      <c r="T2058" s="144">
        <v>42715</v>
      </c>
      <c r="U2058" s="172">
        <f t="shared" si="108"/>
        <v>2016</v>
      </c>
      <c r="V2058" s="172">
        <f t="shared" si="109"/>
        <v>12</v>
      </c>
      <c r="W2058" s="97" t="s">
        <v>439</v>
      </c>
      <c r="X2058" t="s">
        <v>894</v>
      </c>
      <c r="Y2058">
        <v>1</v>
      </c>
      <c r="Z2058" s="13"/>
      <c r="AA2058" s="13">
        <f t="shared" si="107"/>
        <v>264250</v>
      </c>
      <c r="AE2058" s="42"/>
      <c r="AL2058" s="94" t="s">
        <v>819</v>
      </c>
      <c r="AM2058" s="86">
        <v>560021</v>
      </c>
    </row>
    <row r="2059" spans="13:39" hidden="1">
      <c r="M2059" s="141">
        <v>264377</v>
      </c>
      <c r="N2059" s="222">
        <v>445694</v>
      </c>
      <c r="O2059" s="142" t="s">
        <v>244</v>
      </c>
      <c r="P2059" s="142" t="s">
        <v>245</v>
      </c>
      <c r="Q2059" s="143" t="s">
        <v>404</v>
      </c>
      <c r="R2059" s="142" t="s">
        <v>379</v>
      </c>
      <c r="S2059" s="142" t="s">
        <v>801</v>
      </c>
      <c r="T2059" s="144">
        <v>42722</v>
      </c>
      <c r="U2059" s="172">
        <f t="shared" si="108"/>
        <v>2016</v>
      </c>
      <c r="V2059" s="172">
        <f t="shared" si="109"/>
        <v>12</v>
      </c>
      <c r="W2059" s="97" t="s">
        <v>386</v>
      </c>
      <c r="X2059" t="s">
        <v>892</v>
      </c>
      <c r="Y2059">
        <v>1</v>
      </c>
      <c r="Z2059" s="13"/>
      <c r="AA2059" s="13">
        <f t="shared" si="107"/>
        <v>264377</v>
      </c>
      <c r="AE2059" s="42"/>
      <c r="AL2059" s="94" t="s">
        <v>819</v>
      </c>
      <c r="AM2059" s="86">
        <v>560590</v>
      </c>
    </row>
    <row r="2060" spans="13:39" hidden="1">
      <c r="M2060" s="141">
        <v>265000</v>
      </c>
      <c r="N2060" s="222">
        <v>513323</v>
      </c>
      <c r="O2060" s="142" t="s">
        <v>244</v>
      </c>
      <c r="P2060" s="142" t="s">
        <v>245</v>
      </c>
      <c r="Q2060" s="145">
        <v>392</v>
      </c>
      <c r="R2060" s="142" t="s">
        <v>379</v>
      </c>
      <c r="S2060" s="142" t="s">
        <v>801</v>
      </c>
      <c r="T2060" s="144">
        <v>42722</v>
      </c>
      <c r="U2060" s="172">
        <f t="shared" si="108"/>
        <v>2016</v>
      </c>
      <c r="V2060" s="172">
        <f t="shared" si="109"/>
        <v>12</v>
      </c>
      <c r="W2060" s="97" t="s">
        <v>386</v>
      </c>
      <c r="X2060" t="s">
        <v>892</v>
      </c>
      <c r="Y2060">
        <v>1</v>
      </c>
      <c r="Z2060" s="13"/>
      <c r="AA2060" s="13">
        <f t="shared" si="107"/>
        <v>265000</v>
      </c>
      <c r="AE2060" s="42"/>
      <c r="AL2060" s="94" t="s">
        <v>819</v>
      </c>
      <c r="AM2060" s="86">
        <v>560590</v>
      </c>
    </row>
    <row r="2061" spans="13:39" hidden="1">
      <c r="M2061" s="141">
        <v>265780</v>
      </c>
      <c r="N2061" s="222">
        <v>435211</v>
      </c>
      <c r="O2061" s="142" t="s">
        <v>244</v>
      </c>
      <c r="P2061" s="142" t="s">
        <v>245</v>
      </c>
      <c r="Q2061" s="143" t="s">
        <v>426</v>
      </c>
      <c r="R2061" s="142" t="s">
        <v>379</v>
      </c>
      <c r="S2061" s="142" t="s">
        <v>801</v>
      </c>
      <c r="T2061" s="144">
        <v>42722</v>
      </c>
      <c r="U2061" s="172">
        <f t="shared" si="108"/>
        <v>2016</v>
      </c>
      <c r="V2061" s="172">
        <f t="shared" si="109"/>
        <v>12</v>
      </c>
      <c r="W2061" s="97" t="s">
        <v>386</v>
      </c>
      <c r="X2061" t="s">
        <v>892</v>
      </c>
      <c r="Y2061">
        <v>1</v>
      </c>
      <c r="Z2061" s="13"/>
      <c r="AA2061" s="13">
        <f t="shared" si="107"/>
        <v>265780</v>
      </c>
      <c r="AE2061" s="42"/>
      <c r="AL2061" s="94" t="s">
        <v>819</v>
      </c>
      <c r="AM2061" s="86">
        <v>560590</v>
      </c>
    </row>
    <row r="2062" spans="13:39" hidden="1">
      <c r="M2062" s="141">
        <v>266000</v>
      </c>
      <c r="N2062" s="222">
        <v>442958</v>
      </c>
      <c r="O2062" s="142" t="s">
        <v>244</v>
      </c>
      <c r="P2062" s="142" t="s">
        <v>245</v>
      </c>
      <c r="Q2062" s="145">
        <v>132</v>
      </c>
      <c r="R2062" s="142" t="s">
        <v>379</v>
      </c>
      <c r="S2062" s="142" t="s">
        <v>801</v>
      </c>
      <c r="T2062" s="144">
        <v>41763</v>
      </c>
      <c r="U2062" s="172">
        <f t="shared" si="108"/>
        <v>2014</v>
      </c>
      <c r="V2062" s="172">
        <f t="shared" si="109"/>
        <v>5</v>
      </c>
      <c r="W2062" s="97" t="s">
        <v>613</v>
      </c>
      <c r="X2062" t="s">
        <v>892</v>
      </c>
      <c r="Y2062" s="41">
        <v>1</v>
      </c>
      <c r="Z2062" s="13"/>
      <c r="AA2062" s="13">
        <f t="shared" si="107"/>
        <v>266000</v>
      </c>
      <c r="AE2062" s="42"/>
      <c r="AL2062" s="94" t="s">
        <v>819</v>
      </c>
      <c r="AM2062" s="86">
        <v>560973</v>
      </c>
    </row>
    <row r="2063" spans="13:39" hidden="1">
      <c r="M2063" s="141">
        <v>266513</v>
      </c>
      <c r="N2063" s="222">
        <v>366738</v>
      </c>
      <c r="O2063" s="142" t="s">
        <v>244</v>
      </c>
      <c r="P2063" s="142" t="s">
        <v>245</v>
      </c>
      <c r="Q2063" s="145">
        <v>157</v>
      </c>
      <c r="R2063" s="142" t="s">
        <v>379</v>
      </c>
      <c r="S2063" s="142" t="s">
        <v>801</v>
      </c>
      <c r="T2063" s="144">
        <v>41983</v>
      </c>
      <c r="U2063" s="172">
        <f t="shared" si="108"/>
        <v>2014</v>
      </c>
      <c r="V2063" s="172">
        <f t="shared" si="109"/>
        <v>12</v>
      </c>
      <c r="W2063" s="97" t="s">
        <v>609</v>
      </c>
      <c r="X2063" t="s">
        <v>892</v>
      </c>
      <c r="Y2063" s="41">
        <v>1</v>
      </c>
      <c r="Z2063" s="13"/>
      <c r="AA2063" s="13">
        <f t="shared" si="107"/>
        <v>266513</v>
      </c>
      <c r="AE2063" s="42"/>
      <c r="AL2063" s="94" t="s">
        <v>819</v>
      </c>
      <c r="AM2063" s="86">
        <v>561160</v>
      </c>
    </row>
    <row r="2064" spans="13:39" hidden="1">
      <c r="M2064" s="141">
        <v>267180</v>
      </c>
      <c r="N2064" s="222">
        <v>538223</v>
      </c>
      <c r="O2064" s="142" t="s">
        <v>244</v>
      </c>
      <c r="P2064" s="142" t="s">
        <v>245</v>
      </c>
      <c r="Q2064" s="145">
        <v>526</v>
      </c>
      <c r="R2064" s="142" t="s">
        <v>379</v>
      </c>
      <c r="S2064" s="142" t="s">
        <v>801</v>
      </c>
      <c r="T2064" s="144">
        <v>42722</v>
      </c>
      <c r="U2064" s="172">
        <f t="shared" si="108"/>
        <v>2016</v>
      </c>
      <c r="V2064" s="172">
        <f t="shared" si="109"/>
        <v>12</v>
      </c>
      <c r="W2064" s="97" t="s">
        <v>386</v>
      </c>
      <c r="X2064" t="s">
        <v>892</v>
      </c>
      <c r="Y2064">
        <v>1</v>
      </c>
      <c r="Z2064" s="13"/>
      <c r="AA2064" s="13">
        <f t="shared" si="107"/>
        <v>267180</v>
      </c>
      <c r="AE2064" s="42"/>
      <c r="AL2064" s="94" t="s">
        <v>819</v>
      </c>
      <c r="AM2064" s="86">
        <v>561160</v>
      </c>
    </row>
    <row r="2065" spans="13:39" hidden="1">
      <c r="M2065" s="141">
        <v>268990</v>
      </c>
      <c r="N2065" s="222">
        <v>449595</v>
      </c>
      <c r="O2065" s="142" t="s">
        <v>244</v>
      </c>
      <c r="P2065" s="142" t="s">
        <v>245</v>
      </c>
      <c r="Q2065" s="143" t="s">
        <v>405</v>
      </c>
      <c r="R2065" s="142" t="s">
        <v>379</v>
      </c>
      <c r="S2065" s="142" t="s">
        <v>801</v>
      </c>
      <c r="T2065" s="144">
        <v>42722</v>
      </c>
      <c r="U2065" s="172">
        <f t="shared" si="108"/>
        <v>2016</v>
      </c>
      <c r="V2065" s="172">
        <f t="shared" si="109"/>
        <v>12</v>
      </c>
      <c r="W2065" s="97" t="s">
        <v>386</v>
      </c>
      <c r="X2065" t="s">
        <v>892</v>
      </c>
      <c r="Y2065">
        <v>1</v>
      </c>
      <c r="Z2065" s="13"/>
      <c r="AA2065" s="13">
        <f t="shared" si="107"/>
        <v>268990</v>
      </c>
      <c r="AE2065" s="42"/>
      <c r="AL2065" s="94" t="s">
        <v>819</v>
      </c>
      <c r="AM2065" s="86">
        <v>561729</v>
      </c>
    </row>
    <row r="2066" spans="13:39" hidden="1">
      <c r="M2066" s="141">
        <v>269353</v>
      </c>
      <c r="N2066" s="222">
        <v>435211</v>
      </c>
      <c r="O2066" s="142" t="s">
        <v>244</v>
      </c>
      <c r="P2066" s="142" t="s">
        <v>245</v>
      </c>
      <c r="Q2066" s="143" t="s">
        <v>427</v>
      </c>
      <c r="R2066" s="142" t="s">
        <v>379</v>
      </c>
      <c r="S2066" s="142" t="s">
        <v>801</v>
      </c>
      <c r="T2066" s="144">
        <v>42722</v>
      </c>
      <c r="U2066" s="172">
        <f t="shared" si="108"/>
        <v>2016</v>
      </c>
      <c r="V2066" s="172">
        <f t="shared" si="109"/>
        <v>12</v>
      </c>
      <c r="W2066" s="97" t="s">
        <v>386</v>
      </c>
      <c r="X2066" t="s">
        <v>892</v>
      </c>
      <c r="Y2066">
        <v>1</v>
      </c>
      <c r="Z2066" s="13"/>
      <c r="AA2066" s="13">
        <f t="shared" si="107"/>
        <v>269353</v>
      </c>
      <c r="AE2066" s="42"/>
      <c r="AL2066" s="94" t="s">
        <v>819</v>
      </c>
      <c r="AM2066" s="86">
        <v>561729</v>
      </c>
    </row>
    <row r="2067" spans="13:39" hidden="1">
      <c r="M2067" s="141">
        <v>269751</v>
      </c>
      <c r="N2067" s="222">
        <v>518440</v>
      </c>
      <c r="O2067" s="142" t="s">
        <v>244</v>
      </c>
      <c r="P2067" s="142" t="s">
        <v>245</v>
      </c>
      <c r="Q2067" s="145">
        <v>286</v>
      </c>
      <c r="R2067" s="142" t="s">
        <v>379</v>
      </c>
      <c r="S2067" s="142" t="s">
        <v>801</v>
      </c>
      <c r="T2067" s="144">
        <v>42722</v>
      </c>
      <c r="U2067" s="172">
        <f t="shared" si="108"/>
        <v>2016</v>
      </c>
      <c r="V2067" s="172">
        <f t="shared" si="109"/>
        <v>12</v>
      </c>
      <c r="W2067" s="97" t="s">
        <v>386</v>
      </c>
      <c r="X2067" t="s">
        <v>892</v>
      </c>
      <c r="Y2067">
        <v>1</v>
      </c>
      <c r="Z2067" s="13"/>
      <c r="AA2067" s="13">
        <f t="shared" si="107"/>
        <v>269751</v>
      </c>
      <c r="AE2067" s="42"/>
      <c r="AL2067" s="94" t="s">
        <v>819</v>
      </c>
      <c r="AM2067" s="86">
        <v>561729</v>
      </c>
    </row>
    <row r="2068" spans="13:39" hidden="1">
      <c r="M2068" s="141">
        <v>269900</v>
      </c>
      <c r="N2068" s="222">
        <v>973197</v>
      </c>
      <c r="O2068" s="142" t="s">
        <v>244</v>
      </c>
      <c r="P2068" s="142" t="s">
        <v>245</v>
      </c>
      <c r="Q2068" s="145">
        <v>77</v>
      </c>
      <c r="R2068" s="142" t="s">
        <v>438</v>
      </c>
      <c r="S2068" s="142" t="s">
        <v>801</v>
      </c>
      <c r="T2068" s="144">
        <v>42715</v>
      </c>
      <c r="U2068" s="172">
        <f t="shared" si="108"/>
        <v>2016</v>
      </c>
      <c r="V2068" s="172">
        <f t="shared" si="109"/>
        <v>12</v>
      </c>
      <c r="W2068" s="97" t="s">
        <v>439</v>
      </c>
      <c r="X2068" t="s">
        <v>894</v>
      </c>
      <c r="Y2068">
        <v>1</v>
      </c>
      <c r="Z2068" s="13"/>
      <c r="AA2068" s="13">
        <f t="shared" si="107"/>
        <v>269900</v>
      </c>
      <c r="AE2068" s="42"/>
      <c r="AL2068" s="94" t="s">
        <v>819</v>
      </c>
      <c r="AM2068" s="86">
        <v>561729</v>
      </c>
    </row>
    <row r="2069" spans="13:39" hidden="1">
      <c r="M2069" s="141">
        <v>270001</v>
      </c>
      <c r="N2069" s="222">
        <v>515889</v>
      </c>
      <c r="O2069" s="142" t="s">
        <v>244</v>
      </c>
      <c r="P2069" s="142" t="s">
        <v>245</v>
      </c>
      <c r="Q2069" s="145">
        <v>564</v>
      </c>
      <c r="R2069" s="142" t="s">
        <v>379</v>
      </c>
      <c r="S2069" s="142" t="s">
        <v>801</v>
      </c>
      <c r="T2069" s="144">
        <v>42722</v>
      </c>
      <c r="U2069" s="172">
        <f t="shared" si="108"/>
        <v>2016</v>
      </c>
      <c r="V2069" s="172">
        <f t="shared" si="109"/>
        <v>12</v>
      </c>
      <c r="W2069" s="97" t="s">
        <v>386</v>
      </c>
      <c r="X2069" t="s">
        <v>892</v>
      </c>
      <c r="Y2069">
        <v>1</v>
      </c>
      <c r="Z2069" s="13"/>
      <c r="AA2069" s="13">
        <f t="shared" si="107"/>
        <v>270001</v>
      </c>
      <c r="AE2069" s="42"/>
      <c r="AL2069" s="88" t="s">
        <v>819</v>
      </c>
      <c r="AM2069" s="86">
        <v>561791</v>
      </c>
    </row>
    <row r="2070" spans="13:39" hidden="1">
      <c r="M2070" s="141">
        <v>271000</v>
      </c>
      <c r="N2070" s="222">
        <v>515889</v>
      </c>
      <c r="O2070" s="142" t="s">
        <v>244</v>
      </c>
      <c r="P2070" s="142" t="s">
        <v>245</v>
      </c>
      <c r="Q2070" s="145">
        <v>565</v>
      </c>
      <c r="R2070" s="142" t="s">
        <v>379</v>
      </c>
      <c r="S2070" s="142" t="s">
        <v>801</v>
      </c>
      <c r="T2070" s="144">
        <v>42722</v>
      </c>
      <c r="U2070" s="172">
        <f t="shared" si="108"/>
        <v>2016</v>
      </c>
      <c r="V2070" s="172">
        <f t="shared" si="109"/>
        <v>12</v>
      </c>
      <c r="W2070" s="97" t="s">
        <v>386</v>
      </c>
      <c r="X2070" t="s">
        <v>892</v>
      </c>
      <c r="Y2070">
        <v>1</v>
      </c>
      <c r="Z2070" s="13"/>
      <c r="AA2070" s="13">
        <f t="shared" si="107"/>
        <v>271000</v>
      </c>
      <c r="AE2070" s="42"/>
      <c r="AL2070" s="88" t="s">
        <v>819</v>
      </c>
      <c r="AM2070" s="86">
        <v>56199789</v>
      </c>
    </row>
    <row r="2071" spans="13:39" hidden="1">
      <c r="M2071" s="141">
        <v>271050</v>
      </c>
      <c r="N2071" s="222">
        <v>532829</v>
      </c>
      <c r="O2071" s="142" t="s">
        <v>244</v>
      </c>
      <c r="P2071" s="142" t="s">
        <v>245</v>
      </c>
      <c r="Q2071" s="145">
        <v>281</v>
      </c>
      <c r="R2071" s="142" t="s">
        <v>379</v>
      </c>
      <c r="S2071" s="142" t="s">
        <v>801</v>
      </c>
      <c r="T2071" s="144">
        <v>42722</v>
      </c>
      <c r="U2071" s="172">
        <f t="shared" si="108"/>
        <v>2016</v>
      </c>
      <c r="V2071" s="172">
        <f t="shared" si="109"/>
        <v>12</v>
      </c>
      <c r="W2071" s="97" t="s">
        <v>386</v>
      </c>
      <c r="X2071" t="s">
        <v>892</v>
      </c>
      <c r="Y2071">
        <v>1</v>
      </c>
      <c r="Z2071" s="13"/>
      <c r="AA2071" s="13">
        <f t="shared" si="107"/>
        <v>271050</v>
      </c>
      <c r="AE2071" s="42"/>
      <c r="AL2071" s="94" t="s">
        <v>819</v>
      </c>
      <c r="AM2071" s="86">
        <v>562299</v>
      </c>
    </row>
    <row r="2072" spans="13:39" hidden="1">
      <c r="M2072" s="141">
        <v>272180</v>
      </c>
      <c r="N2072" s="222">
        <v>538724</v>
      </c>
      <c r="O2072" s="142" t="s">
        <v>244</v>
      </c>
      <c r="P2072" s="142" t="s">
        <v>245</v>
      </c>
      <c r="Q2072" s="145">
        <v>527</v>
      </c>
      <c r="R2072" s="142" t="s">
        <v>379</v>
      </c>
      <c r="S2072" s="142" t="s">
        <v>801</v>
      </c>
      <c r="T2072" s="144">
        <v>42722</v>
      </c>
      <c r="U2072" s="172">
        <f t="shared" si="108"/>
        <v>2016</v>
      </c>
      <c r="V2072" s="172">
        <f t="shared" si="109"/>
        <v>12</v>
      </c>
      <c r="W2072" s="97" t="s">
        <v>386</v>
      </c>
      <c r="X2072" t="s">
        <v>892</v>
      </c>
      <c r="Y2072">
        <v>1</v>
      </c>
      <c r="Z2072" s="13"/>
      <c r="AA2072" s="13">
        <f t="shared" si="107"/>
        <v>272180</v>
      </c>
      <c r="AE2072" s="42"/>
      <c r="AL2072" s="94" t="s">
        <v>819</v>
      </c>
      <c r="AM2072" s="86">
        <v>562299</v>
      </c>
    </row>
    <row r="2073" spans="13:39" hidden="1">
      <c r="M2073" s="141">
        <v>275000</v>
      </c>
      <c r="N2073" s="222">
        <v>420201</v>
      </c>
      <c r="O2073" s="142" t="s">
        <v>244</v>
      </c>
      <c r="P2073" s="142" t="s">
        <v>245</v>
      </c>
      <c r="Q2073" s="145">
        <v>5</v>
      </c>
      <c r="R2073" s="142" t="s">
        <v>379</v>
      </c>
      <c r="S2073" s="142" t="s">
        <v>801</v>
      </c>
      <c r="T2073" s="144">
        <v>41987</v>
      </c>
      <c r="U2073" s="172">
        <f t="shared" si="108"/>
        <v>2014</v>
      </c>
      <c r="V2073" s="172">
        <f t="shared" si="109"/>
        <v>12</v>
      </c>
      <c r="W2073" s="97" t="s">
        <v>586</v>
      </c>
      <c r="X2073" t="s">
        <v>892</v>
      </c>
      <c r="Y2073" s="41">
        <v>1</v>
      </c>
      <c r="Z2073" s="13"/>
      <c r="AA2073" s="13">
        <f t="shared" si="107"/>
        <v>275000</v>
      </c>
      <c r="AE2073" s="42"/>
      <c r="AL2073" s="94" t="s">
        <v>819</v>
      </c>
      <c r="AM2073" s="86">
        <v>562299</v>
      </c>
    </row>
    <row r="2074" spans="13:39" hidden="1">
      <c r="M2074" s="141">
        <v>277421</v>
      </c>
      <c r="N2074" s="222">
        <v>411711</v>
      </c>
      <c r="O2074" s="142" t="s">
        <v>244</v>
      </c>
      <c r="P2074" s="142" t="s">
        <v>245</v>
      </c>
      <c r="Q2074" s="143" t="s">
        <v>415</v>
      </c>
      <c r="R2074" s="142" t="s">
        <v>379</v>
      </c>
      <c r="S2074" s="142" t="s">
        <v>801</v>
      </c>
      <c r="T2074" s="144">
        <v>42722</v>
      </c>
      <c r="U2074" s="172">
        <f t="shared" si="108"/>
        <v>2016</v>
      </c>
      <c r="V2074" s="172">
        <f t="shared" si="109"/>
        <v>12</v>
      </c>
      <c r="W2074" s="97" t="s">
        <v>386</v>
      </c>
      <c r="X2074" t="s">
        <v>892</v>
      </c>
      <c r="Y2074">
        <v>1</v>
      </c>
      <c r="Z2074" s="13"/>
      <c r="AA2074" s="13">
        <f t="shared" si="107"/>
        <v>277421</v>
      </c>
      <c r="AE2074" s="42"/>
      <c r="AL2074" s="94" t="s">
        <v>819</v>
      </c>
      <c r="AM2074" s="86">
        <v>562299</v>
      </c>
    </row>
    <row r="2075" spans="13:39" hidden="1">
      <c r="M2075" s="141">
        <v>280000</v>
      </c>
      <c r="N2075" s="222">
        <v>513323</v>
      </c>
      <c r="O2075" s="142" t="s">
        <v>244</v>
      </c>
      <c r="P2075" s="142" t="s">
        <v>245</v>
      </c>
      <c r="Q2075" s="145">
        <v>387</v>
      </c>
      <c r="R2075" s="142" t="s">
        <v>379</v>
      </c>
      <c r="S2075" s="142" t="s">
        <v>801</v>
      </c>
      <c r="T2075" s="144">
        <v>42722</v>
      </c>
      <c r="U2075" s="172">
        <f t="shared" si="108"/>
        <v>2016</v>
      </c>
      <c r="V2075" s="172">
        <f t="shared" si="109"/>
        <v>12</v>
      </c>
      <c r="W2075" s="97" t="s">
        <v>386</v>
      </c>
      <c r="X2075" t="s">
        <v>892</v>
      </c>
      <c r="Y2075">
        <v>1</v>
      </c>
      <c r="Z2075" s="13"/>
      <c r="AA2075" s="13">
        <f t="shared" si="107"/>
        <v>280000</v>
      </c>
      <c r="AE2075" s="42"/>
      <c r="AL2075" s="94" t="s">
        <v>819</v>
      </c>
      <c r="AM2075" s="86">
        <v>562299</v>
      </c>
    </row>
    <row r="2076" spans="13:39" hidden="1">
      <c r="M2076" s="141">
        <v>280299</v>
      </c>
      <c r="N2076" s="222">
        <v>538724</v>
      </c>
      <c r="O2076" s="142" t="s">
        <v>244</v>
      </c>
      <c r="P2076" s="142" t="s">
        <v>245</v>
      </c>
      <c r="Q2076" s="145">
        <v>522</v>
      </c>
      <c r="R2076" s="142" t="s">
        <v>379</v>
      </c>
      <c r="S2076" s="142" t="s">
        <v>801</v>
      </c>
      <c r="T2076" s="144">
        <v>42722</v>
      </c>
      <c r="U2076" s="172">
        <f t="shared" si="108"/>
        <v>2016</v>
      </c>
      <c r="V2076" s="172">
        <f t="shared" si="109"/>
        <v>12</v>
      </c>
      <c r="W2076" s="97" t="s">
        <v>386</v>
      </c>
      <c r="X2076" t="s">
        <v>892</v>
      </c>
      <c r="Y2076">
        <v>1</v>
      </c>
      <c r="Z2076" s="13"/>
      <c r="AA2076" s="13">
        <f t="shared" si="107"/>
        <v>280299</v>
      </c>
      <c r="AE2076" s="42"/>
      <c r="AL2076" s="94" t="s">
        <v>819</v>
      </c>
      <c r="AM2076" s="86">
        <v>562299</v>
      </c>
    </row>
    <row r="2077" spans="13:39" hidden="1">
      <c r="M2077" s="141">
        <v>280550</v>
      </c>
      <c r="N2077" s="222">
        <v>518440</v>
      </c>
      <c r="O2077" s="142" t="s">
        <v>244</v>
      </c>
      <c r="P2077" s="142" t="s">
        <v>245</v>
      </c>
      <c r="Q2077" s="145">
        <v>194</v>
      </c>
      <c r="R2077" s="142" t="s">
        <v>379</v>
      </c>
      <c r="S2077" s="142" t="s">
        <v>801</v>
      </c>
      <c r="T2077" s="144">
        <v>42722</v>
      </c>
      <c r="U2077" s="172">
        <f t="shared" si="108"/>
        <v>2016</v>
      </c>
      <c r="V2077" s="172">
        <f t="shared" si="109"/>
        <v>12</v>
      </c>
      <c r="W2077" s="97" t="s">
        <v>386</v>
      </c>
      <c r="X2077" t="s">
        <v>892</v>
      </c>
      <c r="Y2077">
        <v>1</v>
      </c>
      <c r="Z2077" s="13"/>
      <c r="AA2077" s="13">
        <f t="shared" si="107"/>
        <v>280550</v>
      </c>
      <c r="AE2077" s="42"/>
      <c r="AL2077" s="94" t="s">
        <v>819</v>
      </c>
      <c r="AM2077" s="86">
        <v>562299</v>
      </c>
    </row>
    <row r="2078" spans="13:39" hidden="1">
      <c r="M2078" s="141">
        <v>281555</v>
      </c>
      <c r="N2078" s="222">
        <v>513323</v>
      </c>
      <c r="O2078" s="142" t="s">
        <v>244</v>
      </c>
      <c r="P2078" s="142" t="s">
        <v>245</v>
      </c>
      <c r="Q2078" s="145">
        <v>393</v>
      </c>
      <c r="R2078" s="142" t="s">
        <v>379</v>
      </c>
      <c r="S2078" s="142" t="s">
        <v>801</v>
      </c>
      <c r="T2078" s="144">
        <v>42722</v>
      </c>
      <c r="U2078" s="172">
        <f t="shared" si="108"/>
        <v>2016</v>
      </c>
      <c r="V2078" s="172">
        <f t="shared" si="109"/>
        <v>12</v>
      </c>
      <c r="W2078" s="97" t="s">
        <v>386</v>
      </c>
      <c r="X2078" t="s">
        <v>892</v>
      </c>
      <c r="Y2078">
        <v>1</v>
      </c>
      <c r="Z2078" s="13"/>
      <c r="AA2078" s="13">
        <f t="shared" si="107"/>
        <v>281555</v>
      </c>
      <c r="AE2078" s="42"/>
      <c r="AL2078" s="94" t="s">
        <v>819</v>
      </c>
      <c r="AM2078" s="86">
        <v>562299</v>
      </c>
    </row>
    <row r="2079" spans="13:39" hidden="1">
      <c r="M2079" s="141">
        <v>282700</v>
      </c>
      <c r="N2079" s="222">
        <v>558129</v>
      </c>
      <c r="O2079" s="142" t="s">
        <v>244</v>
      </c>
      <c r="P2079" s="142" t="s">
        <v>245</v>
      </c>
      <c r="Q2079" s="143" t="s">
        <v>447</v>
      </c>
      <c r="R2079" s="142" t="s">
        <v>379</v>
      </c>
      <c r="S2079" s="142" t="s">
        <v>801</v>
      </c>
      <c r="T2079" s="144">
        <v>42498</v>
      </c>
      <c r="U2079" s="172">
        <f t="shared" si="108"/>
        <v>2016</v>
      </c>
      <c r="V2079" s="172">
        <f t="shared" si="109"/>
        <v>5</v>
      </c>
      <c r="W2079" s="97" t="s">
        <v>445</v>
      </c>
      <c r="X2079" t="s">
        <v>892</v>
      </c>
      <c r="Y2079">
        <v>1</v>
      </c>
      <c r="Z2079" s="13"/>
      <c r="AA2079" s="13">
        <f t="shared" si="107"/>
        <v>282700</v>
      </c>
      <c r="AE2079" s="42"/>
      <c r="AL2079" s="94" t="s">
        <v>819</v>
      </c>
      <c r="AM2079" s="86">
        <v>562716</v>
      </c>
    </row>
    <row r="2080" spans="13:39" hidden="1">
      <c r="M2080" s="141">
        <v>283106</v>
      </c>
      <c r="N2080" s="222">
        <v>520732</v>
      </c>
      <c r="O2080" s="142" t="s">
        <v>244</v>
      </c>
      <c r="P2080" s="142" t="s">
        <v>245</v>
      </c>
      <c r="Q2080" s="145">
        <v>487</v>
      </c>
      <c r="R2080" s="142" t="s">
        <v>379</v>
      </c>
      <c r="S2080" s="142" t="s">
        <v>801</v>
      </c>
      <c r="T2080" s="144">
        <v>42722</v>
      </c>
      <c r="U2080" s="172">
        <f t="shared" si="108"/>
        <v>2016</v>
      </c>
      <c r="V2080" s="172">
        <f t="shared" si="109"/>
        <v>12</v>
      </c>
      <c r="W2080" s="97" t="s">
        <v>386</v>
      </c>
      <c r="X2080" t="s">
        <v>892</v>
      </c>
      <c r="Y2080">
        <v>1</v>
      </c>
      <c r="Z2080" s="13"/>
      <c r="AA2080" s="13">
        <f t="shared" si="107"/>
        <v>283106</v>
      </c>
      <c r="AE2080" s="42"/>
      <c r="AL2080" s="94" t="s">
        <v>819</v>
      </c>
      <c r="AM2080" s="86">
        <v>562868</v>
      </c>
    </row>
    <row r="2081" spans="13:39" hidden="1">
      <c r="M2081" s="141">
        <v>284467</v>
      </c>
      <c r="N2081" s="222">
        <v>520024</v>
      </c>
      <c r="O2081" s="142" t="s">
        <v>244</v>
      </c>
      <c r="P2081" s="142" t="s">
        <v>245</v>
      </c>
      <c r="Q2081" s="145">
        <v>554</v>
      </c>
      <c r="R2081" s="142" t="s">
        <v>379</v>
      </c>
      <c r="S2081" s="142" t="s">
        <v>801</v>
      </c>
      <c r="T2081" s="144">
        <v>42722</v>
      </c>
      <c r="U2081" s="172">
        <f t="shared" si="108"/>
        <v>2016</v>
      </c>
      <c r="V2081" s="172">
        <f t="shared" si="109"/>
        <v>12</v>
      </c>
      <c r="W2081" s="97" t="s">
        <v>386</v>
      </c>
      <c r="X2081" t="s">
        <v>892</v>
      </c>
      <c r="Y2081">
        <v>1</v>
      </c>
      <c r="Z2081" s="13"/>
      <c r="AA2081" s="13">
        <f t="shared" si="107"/>
        <v>284467</v>
      </c>
      <c r="AE2081" s="42"/>
      <c r="AL2081" s="94" t="s">
        <v>819</v>
      </c>
      <c r="AM2081" s="86">
        <v>562868</v>
      </c>
    </row>
    <row r="2082" spans="13:39" hidden="1">
      <c r="M2082" s="141">
        <v>284467</v>
      </c>
      <c r="N2082" s="222">
        <v>520029</v>
      </c>
      <c r="O2082" s="142" t="s">
        <v>244</v>
      </c>
      <c r="P2082" s="142" t="s">
        <v>245</v>
      </c>
      <c r="Q2082" s="145">
        <v>552</v>
      </c>
      <c r="R2082" s="142" t="s">
        <v>379</v>
      </c>
      <c r="S2082" s="142" t="s">
        <v>801</v>
      </c>
      <c r="T2082" s="144">
        <v>42722</v>
      </c>
      <c r="U2082" s="172">
        <f t="shared" si="108"/>
        <v>2016</v>
      </c>
      <c r="V2082" s="172">
        <f t="shared" si="109"/>
        <v>12</v>
      </c>
      <c r="W2082" s="97" t="s">
        <v>386</v>
      </c>
      <c r="X2082" t="s">
        <v>892</v>
      </c>
      <c r="Y2082">
        <v>1</v>
      </c>
      <c r="Z2082" s="13"/>
      <c r="AA2082" s="13">
        <f t="shared" si="107"/>
        <v>284467</v>
      </c>
      <c r="AE2082" s="42"/>
      <c r="AL2082" s="94" t="s">
        <v>819</v>
      </c>
      <c r="AM2082" s="86">
        <v>562868</v>
      </c>
    </row>
    <row r="2083" spans="13:39" hidden="1">
      <c r="M2083" s="141">
        <v>286000</v>
      </c>
      <c r="N2083" s="222">
        <v>765723</v>
      </c>
      <c r="O2083" s="142" t="s">
        <v>244</v>
      </c>
      <c r="P2083" s="142" t="s">
        <v>245</v>
      </c>
      <c r="Q2083" s="145">
        <v>47</v>
      </c>
      <c r="R2083" s="142" t="s">
        <v>379</v>
      </c>
      <c r="S2083" s="142" t="s">
        <v>801</v>
      </c>
      <c r="T2083" s="144">
        <v>41763</v>
      </c>
      <c r="U2083" s="172">
        <f t="shared" si="108"/>
        <v>2014</v>
      </c>
      <c r="V2083" s="172">
        <f t="shared" si="109"/>
        <v>5</v>
      </c>
      <c r="W2083" s="97" t="s">
        <v>613</v>
      </c>
      <c r="X2083" t="s">
        <v>892</v>
      </c>
      <c r="Y2083" s="41">
        <v>2</v>
      </c>
      <c r="Z2083" s="13"/>
      <c r="AA2083" s="13">
        <f t="shared" si="107"/>
        <v>286000</v>
      </c>
      <c r="AE2083" s="42"/>
      <c r="AL2083" s="94" t="s">
        <v>819</v>
      </c>
      <c r="AM2083" s="86">
        <v>562868</v>
      </c>
    </row>
    <row r="2084" spans="13:39" hidden="1">
      <c r="M2084" s="141">
        <v>287757</v>
      </c>
      <c r="N2084" s="222">
        <v>513323</v>
      </c>
      <c r="O2084" s="142" t="s">
        <v>244</v>
      </c>
      <c r="P2084" s="142" t="s">
        <v>245</v>
      </c>
      <c r="Q2084" s="145">
        <v>394</v>
      </c>
      <c r="R2084" s="142" t="s">
        <v>379</v>
      </c>
      <c r="S2084" s="142" t="s">
        <v>801</v>
      </c>
      <c r="T2084" s="144">
        <v>42722</v>
      </c>
      <c r="U2084" s="172">
        <f t="shared" si="108"/>
        <v>2016</v>
      </c>
      <c r="V2084" s="172">
        <f t="shared" si="109"/>
        <v>12</v>
      </c>
      <c r="W2084" s="97" t="s">
        <v>386</v>
      </c>
      <c r="X2084" t="s">
        <v>892</v>
      </c>
      <c r="Y2084">
        <v>1</v>
      </c>
      <c r="Z2084" s="13"/>
      <c r="AA2084" s="13">
        <f t="shared" si="107"/>
        <v>287757</v>
      </c>
      <c r="AE2084" s="42"/>
      <c r="AL2084" s="94" t="s">
        <v>819</v>
      </c>
      <c r="AM2084" s="86">
        <v>562868</v>
      </c>
    </row>
    <row r="2085" spans="13:39" hidden="1">
      <c r="M2085" s="141">
        <v>288100</v>
      </c>
      <c r="N2085" s="222">
        <v>513323</v>
      </c>
      <c r="O2085" s="142" t="s">
        <v>244</v>
      </c>
      <c r="P2085" s="142" t="s">
        <v>245</v>
      </c>
      <c r="Q2085" s="145">
        <v>395</v>
      </c>
      <c r="R2085" s="142" t="s">
        <v>379</v>
      </c>
      <c r="S2085" s="142" t="s">
        <v>801</v>
      </c>
      <c r="T2085" s="144">
        <v>42722</v>
      </c>
      <c r="U2085" s="172">
        <f t="shared" si="108"/>
        <v>2016</v>
      </c>
      <c r="V2085" s="172">
        <f t="shared" si="109"/>
        <v>12</v>
      </c>
      <c r="W2085" s="97" t="s">
        <v>386</v>
      </c>
      <c r="X2085" t="s">
        <v>892</v>
      </c>
      <c r="Y2085">
        <v>1</v>
      </c>
      <c r="Z2085" s="13"/>
      <c r="AA2085" s="13">
        <f t="shared" si="107"/>
        <v>288100</v>
      </c>
      <c r="AE2085" s="42"/>
      <c r="AL2085" s="94" t="s">
        <v>819</v>
      </c>
      <c r="AM2085" s="86">
        <v>563170</v>
      </c>
    </row>
    <row r="2086" spans="13:39" hidden="1">
      <c r="M2086" s="141">
        <v>288288</v>
      </c>
      <c r="N2086" s="222">
        <v>513323</v>
      </c>
      <c r="O2086" s="142" t="s">
        <v>244</v>
      </c>
      <c r="P2086" s="142" t="s">
        <v>245</v>
      </c>
      <c r="Q2086" s="145">
        <v>388</v>
      </c>
      <c r="R2086" s="142" t="s">
        <v>379</v>
      </c>
      <c r="S2086" s="142" t="s">
        <v>801</v>
      </c>
      <c r="T2086" s="144">
        <v>42722</v>
      </c>
      <c r="U2086" s="172">
        <f t="shared" si="108"/>
        <v>2016</v>
      </c>
      <c r="V2086" s="172">
        <f t="shared" si="109"/>
        <v>12</v>
      </c>
      <c r="W2086" s="97" t="s">
        <v>386</v>
      </c>
      <c r="X2086" t="s">
        <v>892</v>
      </c>
      <c r="Y2086">
        <v>1</v>
      </c>
      <c r="Z2086" s="13"/>
      <c r="AA2086" s="13">
        <f t="shared" si="107"/>
        <v>288288</v>
      </c>
      <c r="AE2086" s="42"/>
      <c r="AL2086" s="94" t="s">
        <v>819</v>
      </c>
      <c r="AM2086" s="86">
        <v>563437</v>
      </c>
    </row>
    <row r="2087" spans="13:39" hidden="1">
      <c r="M2087" s="141">
        <v>291000</v>
      </c>
      <c r="N2087" s="222">
        <v>787340</v>
      </c>
      <c r="O2087" s="142" t="s">
        <v>244</v>
      </c>
      <c r="P2087" s="142" t="s">
        <v>245</v>
      </c>
      <c r="Q2087" s="145">
        <v>18</v>
      </c>
      <c r="R2087" s="142" t="s">
        <v>379</v>
      </c>
      <c r="S2087" s="142" t="s">
        <v>801</v>
      </c>
      <c r="T2087" s="144">
        <v>41763</v>
      </c>
      <c r="U2087" s="172">
        <f t="shared" si="108"/>
        <v>2014</v>
      </c>
      <c r="V2087" s="172">
        <f t="shared" si="109"/>
        <v>5</v>
      </c>
      <c r="W2087" s="97" t="s">
        <v>613</v>
      </c>
      <c r="X2087" t="s">
        <v>892</v>
      </c>
      <c r="Y2087" s="41">
        <v>2</v>
      </c>
      <c r="Z2087" s="13"/>
      <c r="AA2087" s="13">
        <f t="shared" si="107"/>
        <v>291000</v>
      </c>
      <c r="AE2087" s="42"/>
      <c r="AL2087" s="94" t="s">
        <v>819</v>
      </c>
      <c r="AM2087" s="86">
        <v>563437</v>
      </c>
    </row>
    <row r="2088" spans="13:39" hidden="1">
      <c r="M2088" s="141">
        <v>291000</v>
      </c>
      <c r="N2088" s="222">
        <v>796960</v>
      </c>
      <c r="O2088" s="142" t="s">
        <v>244</v>
      </c>
      <c r="P2088" s="142" t="s">
        <v>245</v>
      </c>
      <c r="Q2088" s="145">
        <v>29</v>
      </c>
      <c r="R2088" s="142" t="s">
        <v>379</v>
      </c>
      <c r="S2088" s="142" t="s">
        <v>801</v>
      </c>
      <c r="T2088" s="144">
        <v>41763</v>
      </c>
      <c r="U2088" s="172">
        <f t="shared" si="108"/>
        <v>2014</v>
      </c>
      <c r="V2088" s="172">
        <f t="shared" si="109"/>
        <v>5</v>
      </c>
      <c r="W2088" s="97" t="s">
        <v>613</v>
      </c>
      <c r="X2088" t="s">
        <v>892</v>
      </c>
      <c r="Y2088" s="41">
        <v>2</v>
      </c>
      <c r="Z2088" s="13"/>
      <c r="AA2088" s="13">
        <f t="shared" si="107"/>
        <v>291000</v>
      </c>
      <c r="AD2088" s="43" t="s">
        <v>248</v>
      </c>
      <c r="AE2088" s="129">
        <f>SUMIFS($Z$3:$Z$2104,$S$3:$S$2104,"מודיעין-מכבים-רעות",$O$3:$O$2104,$AD2088)</f>
        <v>504225</v>
      </c>
      <c r="AF2088" s="129">
        <f>SUMIFS($Y$3:$Y$2104,$S$3:$S$2104,"מודיעין-מכבים-רעות",$O$3:$O$2104,$AD2088)</f>
        <v>6449</v>
      </c>
      <c r="AL2088" s="94" t="s">
        <v>819</v>
      </c>
      <c r="AM2088" s="86">
        <v>563437</v>
      </c>
    </row>
    <row r="2089" spans="13:39" ht="45" hidden="1">
      <c r="M2089" s="141">
        <v>292520</v>
      </c>
      <c r="N2089" s="222">
        <v>538724</v>
      </c>
      <c r="O2089" s="142" t="s">
        <v>244</v>
      </c>
      <c r="P2089" s="142" t="s">
        <v>245</v>
      </c>
      <c r="Q2089" s="145">
        <v>525</v>
      </c>
      <c r="R2089" s="142" t="s">
        <v>379</v>
      </c>
      <c r="S2089" s="142" t="s">
        <v>801</v>
      </c>
      <c r="T2089" s="144">
        <v>42722</v>
      </c>
      <c r="U2089" s="172">
        <f t="shared" si="108"/>
        <v>2016</v>
      </c>
      <c r="V2089" s="172">
        <f t="shared" si="109"/>
        <v>12</v>
      </c>
      <c r="W2089" s="97" t="s">
        <v>386</v>
      </c>
      <c r="X2089" t="s">
        <v>892</v>
      </c>
      <c r="Y2089">
        <v>1</v>
      </c>
      <c r="Z2089" s="13"/>
      <c r="AA2089" s="13">
        <f t="shared" si="107"/>
        <v>292520</v>
      </c>
      <c r="AD2089" s="43" t="s">
        <v>244</v>
      </c>
      <c r="AE2089" s="129">
        <f t="shared" ref="AE2089:AE2096" si="110">SUMIFS($Z$3:$Z$2104,$S$3:$S$2104,"מודיעין-מכבים-רעות",$O$3:$O$2104,AD2089)</f>
        <v>0</v>
      </c>
      <c r="AF2089" s="129">
        <f>SUMIFS($Y$3:$Y$2104,$S$3:$S$2104,"מודיעין-מכבים-רעות",$O$3:$O$2104,$AD2089)</f>
        <v>0</v>
      </c>
      <c r="AL2089" s="94" t="s">
        <v>819</v>
      </c>
      <c r="AM2089" s="86">
        <v>563437</v>
      </c>
    </row>
    <row r="2090" spans="13:39" ht="30" hidden="1">
      <c r="M2090" s="141">
        <v>295566</v>
      </c>
      <c r="N2090" s="222">
        <v>831223</v>
      </c>
      <c r="O2090" s="142" t="s">
        <v>244</v>
      </c>
      <c r="P2090" s="142" t="s">
        <v>245</v>
      </c>
      <c r="Q2090" s="145">
        <v>39</v>
      </c>
      <c r="R2090" s="142" t="s">
        <v>379</v>
      </c>
      <c r="S2090" s="142" t="s">
        <v>801</v>
      </c>
      <c r="T2090" s="144">
        <v>41763</v>
      </c>
      <c r="U2090" s="172">
        <f t="shared" si="108"/>
        <v>2014</v>
      </c>
      <c r="V2090" s="172">
        <f t="shared" si="109"/>
        <v>5</v>
      </c>
      <c r="W2090" s="97" t="s">
        <v>613</v>
      </c>
      <c r="X2090" t="s">
        <v>892</v>
      </c>
      <c r="Y2090" s="41">
        <v>2</v>
      </c>
      <c r="Z2090" s="13"/>
      <c r="AA2090" s="13">
        <f t="shared" si="107"/>
        <v>295566</v>
      </c>
      <c r="AD2090" s="43" t="s">
        <v>294</v>
      </c>
      <c r="AE2090" s="129">
        <f t="shared" si="110"/>
        <v>24131</v>
      </c>
      <c r="AF2090" s="129">
        <f>SUMIFS($Y$3:$Y$2104,$S$3:$S$2104,"מודיעין-מכבים-רעות",$O$3:$O$2104,$AD2090)</f>
        <v>0</v>
      </c>
      <c r="AG2090" s="15">
        <f>AE2090*150%</f>
        <v>36196.5</v>
      </c>
      <c r="AL2090" s="94" t="s">
        <v>819</v>
      </c>
      <c r="AM2090" s="86">
        <v>564007</v>
      </c>
    </row>
    <row r="2091" spans="13:39" hidden="1">
      <c r="M2091" s="141">
        <v>296000</v>
      </c>
      <c r="N2091" s="222">
        <v>411711</v>
      </c>
      <c r="O2091" s="142" t="s">
        <v>244</v>
      </c>
      <c r="P2091" s="142" t="s">
        <v>245</v>
      </c>
      <c r="Q2091" s="143" t="s">
        <v>417</v>
      </c>
      <c r="R2091" s="142" t="s">
        <v>379</v>
      </c>
      <c r="S2091" s="142" t="s">
        <v>801</v>
      </c>
      <c r="T2091" s="144">
        <v>42722</v>
      </c>
      <c r="U2091" s="172">
        <f t="shared" si="108"/>
        <v>2016</v>
      </c>
      <c r="V2091" s="172">
        <f t="shared" si="109"/>
        <v>12</v>
      </c>
      <c r="W2091" s="97" t="s">
        <v>386</v>
      </c>
      <c r="X2091" t="s">
        <v>892</v>
      </c>
      <c r="Y2091">
        <v>1</v>
      </c>
      <c r="Z2091" s="13"/>
      <c r="AA2091" s="13">
        <f t="shared" si="107"/>
        <v>296000</v>
      </c>
      <c r="AD2091" s="43" t="s">
        <v>285</v>
      </c>
      <c r="AE2091" s="129">
        <f t="shared" si="110"/>
        <v>221661</v>
      </c>
      <c r="AF2091" s="129">
        <f>SUMIFS($Y$3:$Y$2104,$S$3:$S$2104,"מודיעין-מכבים-רעות",$O$3:$O$2104,$AD2091)</f>
        <v>0</v>
      </c>
      <c r="AG2091" s="15">
        <f>AE2091*85%</f>
        <v>188411.85</v>
      </c>
      <c r="AL2091" s="94" t="s">
        <v>819</v>
      </c>
      <c r="AM2091" s="86">
        <v>564007</v>
      </c>
    </row>
    <row r="2092" spans="13:39" hidden="1">
      <c r="M2092" s="141">
        <v>296260</v>
      </c>
      <c r="N2092" s="222">
        <v>420201</v>
      </c>
      <c r="O2092" s="142" t="s">
        <v>244</v>
      </c>
      <c r="P2092" s="142" t="s">
        <v>245</v>
      </c>
      <c r="Q2092" s="145">
        <v>6</v>
      </c>
      <c r="R2092" s="142" t="s">
        <v>379</v>
      </c>
      <c r="S2092" s="142" t="s">
        <v>801</v>
      </c>
      <c r="T2092" s="144">
        <v>41987</v>
      </c>
      <c r="U2092" s="172">
        <f t="shared" si="108"/>
        <v>2014</v>
      </c>
      <c r="V2092" s="172">
        <f t="shared" si="109"/>
        <v>12</v>
      </c>
      <c r="W2092" s="97" t="s">
        <v>586</v>
      </c>
      <c r="X2092" t="s">
        <v>892</v>
      </c>
      <c r="Y2092" s="41">
        <v>1</v>
      </c>
      <c r="Z2092" s="13"/>
      <c r="AA2092" s="13">
        <f t="shared" si="107"/>
        <v>296260</v>
      </c>
      <c r="AD2092" s="43" t="s">
        <v>343</v>
      </c>
      <c r="AE2092" s="129">
        <f t="shared" si="110"/>
        <v>0</v>
      </c>
      <c r="AL2092" s="94" t="s">
        <v>819</v>
      </c>
      <c r="AM2092" s="86">
        <v>564007</v>
      </c>
    </row>
    <row r="2093" spans="13:39" ht="30" hidden="1">
      <c r="M2093" s="141">
        <v>297797</v>
      </c>
      <c r="N2093" s="222">
        <v>538724</v>
      </c>
      <c r="O2093" s="142" t="s">
        <v>244</v>
      </c>
      <c r="P2093" s="142" t="s">
        <v>245</v>
      </c>
      <c r="Q2093" s="145">
        <v>521</v>
      </c>
      <c r="R2093" s="142" t="s">
        <v>379</v>
      </c>
      <c r="S2093" s="142" t="s">
        <v>801</v>
      </c>
      <c r="T2093" s="144">
        <v>42722</v>
      </c>
      <c r="U2093" s="172">
        <f t="shared" si="108"/>
        <v>2016</v>
      </c>
      <c r="V2093" s="172">
        <f t="shared" si="109"/>
        <v>12</v>
      </c>
      <c r="W2093" s="97" t="s">
        <v>386</v>
      </c>
      <c r="X2093" t="s">
        <v>892</v>
      </c>
      <c r="Y2093">
        <v>1</v>
      </c>
      <c r="Z2093" s="13"/>
      <c r="AA2093" s="13">
        <f t="shared" si="107"/>
        <v>297797</v>
      </c>
      <c r="AD2093" s="43" t="s">
        <v>338</v>
      </c>
      <c r="AE2093" s="129">
        <f t="shared" si="110"/>
        <v>7276</v>
      </c>
      <c r="AF2093" s="129">
        <f>SUMIFS($Y$3:$Y$2104,$S$3:$S$2104,"מודיעין-מכבים-רעות",$O$3:$O$2104,$AD2093)</f>
        <v>340</v>
      </c>
      <c r="AL2093" s="94" t="s">
        <v>819</v>
      </c>
      <c r="AM2093" s="86">
        <v>564576</v>
      </c>
    </row>
    <row r="2094" spans="13:39" hidden="1">
      <c r="M2094" s="141">
        <v>301550</v>
      </c>
      <c r="N2094" s="222">
        <v>514743</v>
      </c>
      <c r="O2094" s="142" t="s">
        <v>244</v>
      </c>
      <c r="P2094" s="142" t="s">
        <v>245</v>
      </c>
      <c r="Q2094" s="145">
        <v>546</v>
      </c>
      <c r="R2094" s="142" t="s">
        <v>379</v>
      </c>
      <c r="S2094" s="142" t="s">
        <v>801</v>
      </c>
      <c r="T2094" s="144">
        <v>42722</v>
      </c>
      <c r="U2094" s="172">
        <f t="shared" si="108"/>
        <v>2016</v>
      </c>
      <c r="V2094" s="172">
        <f t="shared" si="109"/>
        <v>12</v>
      </c>
      <c r="W2094" s="97" t="s">
        <v>386</v>
      </c>
      <c r="X2094" t="s">
        <v>892</v>
      </c>
      <c r="Y2094">
        <v>1</v>
      </c>
      <c r="Z2094" s="13"/>
      <c r="AA2094" s="13">
        <f t="shared" si="107"/>
        <v>301550</v>
      </c>
      <c r="AD2094" s="43" t="s">
        <v>64</v>
      </c>
      <c r="AE2094" s="129">
        <f t="shared" si="110"/>
        <v>0</v>
      </c>
      <c r="AF2094" s="129">
        <f>SUMIFS($Y$3:$Y$2104,$S$3:$S$2104,"מודיעין-מכבים-רעות",$O$3:$O$2104,$AD2094)</f>
        <v>0</v>
      </c>
      <c r="AL2094" s="94" t="s">
        <v>819</v>
      </c>
      <c r="AM2094" s="86">
        <v>564576</v>
      </c>
    </row>
    <row r="2095" spans="13:39" ht="45" hidden="1">
      <c r="M2095" s="141">
        <v>307785</v>
      </c>
      <c r="N2095" s="222">
        <v>365892</v>
      </c>
      <c r="O2095" s="142" t="s">
        <v>244</v>
      </c>
      <c r="P2095" s="142" t="s">
        <v>245</v>
      </c>
      <c r="Q2095" s="145">
        <v>127</v>
      </c>
      <c r="R2095" s="142" t="s">
        <v>379</v>
      </c>
      <c r="S2095" s="142" t="s">
        <v>801</v>
      </c>
      <c r="T2095" s="144">
        <v>42400</v>
      </c>
      <c r="U2095" s="172">
        <f t="shared" si="108"/>
        <v>2016</v>
      </c>
      <c r="V2095" s="172">
        <f t="shared" si="109"/>
        <v>1</v>
      </c>
      <c r="W2095" s="97" t="s">
        <v>461</v>
      </c>
      <c r="X2095" t="s">
        <v>892</v>
      </c>
      <c r="Y2095" s="41">
        <v>1</v>
      </c>
      <c r="Z2095" s="13"/>
      <c r="AA2095" s="13">
        <f t="shared" si="107"/>
        <v>307785</v>
      </c>
      <c r="AD2095" s="43" t="s">
        <v>678</v>
      </c>
      <c r="AE2095" s="129">
        <f t="shared" si="110"/>
        <v>0</v>
      </c>
      <c r="AF2095" s="129">
        <f>SUMIFS($Y$3:$Y$2104,$S$3:$S$2104,"מודיעין-מכבים-רעות",$O$3:$O$2104,$AD2095)</f>
        <v>0</v>
      </c>
      <c r="AL2095" s="94" t="s">
        <v>819</v>
      </c>
      <c r="AM2095" s="86">
        <v>564576</v>
      </c>
    </row>
    <row r="2096" spans="13:39" hidden="1">
      <c r="M2096" s="141">
        <v>310000</v>
      </c>
      <c r="N2096" s="222">
        <v>518440</v>
      </c>
      <c r="O2096" s="142" t="s">
        <v>244</v>
      </c>
      <c r="P2096" s="142" t="s">
        <v>245</v>
      </c>
      <c r="Q2096" s="145">
        <v>511</v>
      </c>
      <c r="R2096" s="142" t="s">
        <v>379</v>
      </c>
      <c r="S2096" s="142" t="s">
        <v>801</v>
      </c>
      <c r="T2096" s="144">
        <v>42722</v>
      </c>
      <c r="U2096" s="172">
        <f t="shared" si="108"/>
        <v>2016</v>
      </c>
      <c r="V2096" s="172">
        <f t="shared" si="109"/>
        <v>12</v>
      </c>
      <c r="W2096" s="97" t="s">
        <v>386</v>
      </c>
      <c r="X2096" t="s">
        <v>892</v>
      </c>
      <c r="Y2096">
        <v>1</v>
      </c>
      <c r="Z2096" s="13"/>
      <c r="AA2096" s="13">
        <f t="shared" si="107"/>
        <v>310000</v>
      </c>
      <c r="AD2096" s="43" t="s">
        <v>332</v>
      </c>
      <c r="AE2096" s="129">
        <f t="shared" si="110"/>
        <v>0</v>
      </c>
      <c r="AF2096" s="129">
        <f>SUMIFS($Y$3:$Y$2104,$S$3:$S$2104,"מודיעין-מכבים-רעות",$O$3:$O$2104,$AD2096)</f>
        <v>0</v>
      </c>
      <c r="AL2096" s="94" t="s">
        <v>819</v>
      </c>
      <c r="AM2096" s="86">
        <v>564576</v>
      </c>
    </row>
    <row r="2097" spans="13:39" hidden="1">
      <c r="M2097" s="141">
        <v>311000</v>
      </c>
      <c r="N2097" s="222">
        <v>518339</v>
      </c>
      <c r="O2097" s="142" t="s">
        <v>244</v>
      </c>
      <c r="P2097" s="142" t="s">
        <v>245</v>
      </c>
      <c r="Q2097" s="145">
        <v>504</v>
      </c>
      <c r="R2097" s="142" t="s">
        <v>379</v>
      </c>
      <c r="S2097" s="142" t="s">
        <v>801</v>
      </c>
      <c r="T2097" s="144">
        <v>42722</v>
      </c>
      <c r="U2097" s="172">
        <f t="shared" si="108"/>
        <v>2016</v>
      </c>
      <c r="V2097" s="172">
        <f t="shared" si="109"/>
        <v>12</v>
      </c>
      <c r="W2097" s="97" t="s">
        <v>386</v>
      </c>
      <c r="X2097" t="s">
        <v>892</v>
      </c>
      <c r="Y2097">
        <v>1</v>
      </c>
      <c r="Z2097" s="13"/>
      <c r="AA2097" s="13">
        <f t="shared" si="107"/>
        <v>311000</v>
      </c>
      <c r="AE2097" s="97"/>
      <c r="AL2097" s="94" t="s">
        <v>819</v>
      </c>
      <c r="AM2097" s="86">
        <v>564576</v>
      </c>
    </row>
    <row r="2098" spans="13:39" hidden="1">
      <c r="M2098" s="141">
        <v>311101</v>
      </c>
      <c r="N2098" s="222">
        <v>518440</v>
      </c>
      <c r="O2098" s="142" t="s">
        <v>244</v>
      </c>
      <c r="P2098" s="142" t="s">
        <v>245</v>
      </c>
      <c r="Q2098" s="145">
        <v>513</v>
      </c>
      <c r="R2098" s="142" t="s">
        <v>379</v>
      </c>
      <c r="S2098" s="142" t="s">
        <v>801</v>
      </c>
      <c r="T2098" s="144">
        <v>42722</v>
      </c>
      <c r="U2098" s="172">
        <f t="shared" si="108"/>
        <v>2016</v>
      </c>
      <c r="V2098" s="172">
        <f t="shared" si="109"/>
        <v>12</v>
      </c>
      <c r="W2098" s="97" t="s">
        <v>386</v>
      </c>
      <c r="X2098" t="s">
        <v>892</v>
      </c>
      <c r="Y2098">
        <v>1</v>
      </c>
      <c r="Z2098" s="13"/>
      <c r="AA2098" s="13">
        <f t="shared" si="107"/>
        <v>311101</v>
      </c>
      <c r="AE2098" s="97"/>
      <c r="AL2098" s="94" t="s">
        <v>819</v>
      </c>
      <c r="AM2098" s="86">
        <v>564576</v>
      </c>
    </row>
    <row r="2099" spans="13:39" hidden="1">
      <c r="M2099" s="141">
        <v>312750</v>
      </c>
      <c r="N2099" s="222">
        <v>420201</v>
      </c>
      <c r="O2099" s="142" t="s">
        <v>244</v>
      </c>
      <c r="P2099" s="142" t="s">
        <v>245</v>
      </c>
      <c r="Q2099" s="145">
        <v>1</v>
      </c>
      <c r="R2099" s="142" t="s">
        <v>379</v>
      </c>
      <c r="S2099" s="142" t="s">
        <v>801</v>
      </c>
      <c r="T2099" s="144">
        <v>41987</v>
      </c>
      <c r="U2099" s="172">
        <f t="shared" si="108"/>
        <v>2014</v>
      </c>
      <c r="V2099" s="172">
        <f t="shared" si="109"/>
        <v>12</v>
      </c>
      <c r="W2099" s="97" t="s">
        <v>586</v>
      </c>
      <c r="X2099" t="s">
        <v>892</v>
      </c>
      <c r="Y2099" s="41">
        <v>1</v>
      </c>
      <c r="Z2099" s="13"/>
      <c r="AA2099" s="13">
        <f t="shared" si="107"/>
        <v>312750</v>
      </c>
      <c r="AE2099" s="97"/>
      <c r="AL2099" s="94" t="s">
        <v>819</v>
      </c>
      <c r="AM2099" s="86">
        <v>565147</v>
      </c>
    </row>
    <row r="2100" spans="13:39" hidden="1">
      <c r="M2100" s="141">
        <v>314000</v>
      </c>
      <c r="N2100" s="222">
        <v>432971</v>
      </c>
      <c r="O2100" s="142" t="s">
        <v>244</v>
      </c>
      <c r="P2100" s="142" t="s">
        <v>245</v>
      </c>
      <c r="Q2100" s="143" t="s">
        <v>424</v>
      </c>
      <c r="R2100" s="142" t="s">
        <v>379</v>
      </c>
      <c r="S2100" s="142" t="s">
        <v>801</v>
      </c>
      <c r="T2100" s="144">
        <v>42722</v>
      </c>
      <c r="U2100" s="172">
        <f t="shared" si="108"/>
        <v>2016</v>
      </c>
      <c r="V2100" s="172">
        <f t="shared" si="109"/>
        <v>12</v>
      </c>
      <c r="W2100" s="97" t="s">
        <v>386</v>
      </c>
      <c r="X2100" t="s">
        <v>892</v>
      </c>
      <c r="Y2100">
        <v>1</v>
      </c>
      <c r="Z2100" s="13"/>
      <c r="AA2100" s="13">
        <f t="shared" si="107"/>
        <v>314000</v>
      </c>
      <c r="AE2100" s="97"/>
      <c r="AL2100" s="94" t="s">
        <v>819</v>
      </c>
      <c r="AM2100" s="86">
        <v>565147</v>
      </c>
    </row>
    <row r="2101" spans="13:39" hidden="1">
      <c r="M2101" s="141">
        <v>315000</v>
      </c>
      <c r="N2101" s="222">
        <v>518339</v>
      </c>
      <c r="O2101" s="142" t="s">
        <v>244</v>
      </c>
      <c r="P2101" s="142" t="s">
        <v>245</v>
      </c>
      <c r="Q2101" s="145">
        <v>294</v>
      </c>
      <c r="R2101" s="142" t="s">
        <v>379</v>
      </c>
      <c r="S2101" s="142" t="s">
        <v>801</v>
      </c>
      <c r="T2101" s="144">
        <v>42722</v>
      </c>
      <c r="U2101" s="172">
        <f t="shared" si="108"/>
        <v>2016</v>
      </c>
      <c r="V2101" s="172">
        <f t="shared" si="109"/>
        <v>12</v>
      </c>
      <c r="W2101" s="97" t="s">
        <v>386</v>
      </c>
      <c r="X2101" t="s">
        <v>892</v>
      </c>
      <c r="Y2101">
        <v>1</v>
      </c>
      <c r="Z2101" s="13"/>
      <c r="AA2101" s="13">
        <f t="shared" si="107"/>
        <v>315000</v>
      </c>
      <c r="AE2101" s="97"/>
      <c r="AL2101" s="94" t="s">
        <v>819</v>
      </c>
      <c r="AM2101" s="86">
        <v>565147</v>
      </c>
    </row>
    <row r="2102" spans="13:39" hidden="1">
      <c r="M2102" s="141">
        <v>315555</v>
      </c>
      <c r="N2102" s="222">
        <v>435006</v>
      </c>
      <c r="O2102" s="142" t="s">
        <v>244</v>
      </c>
      <c r="P2102" s="142" t="s">
        <v>245</v>
      </c>
      <c r="Q2102" s="143" t="s">
        <v>425</v>
      </c>
      <c r="R2102" s="142" t="s">
        <v>379</v>
      </c>
      <c r="S2102" s="142" t="s">
        <v>801</v>
      </c>
      <c r="T2102" s="144">
        <v>42722</v>
      </c>
      <c r="U2102" s="172">
        <f t="shared" si="108"/>
        <v>2016</v>
      </c>
      <c r="V2102" s="172">
        <f t="shared" si="109"/>
        <v>12</v>
      </c>
      <c r="W2102" s="97" t="s">
        <v>386</v>
      </c>
      <c r="X2102" t="s">
        <v>892</v>
      </c>
      <c r="Y2102">
        <v>1</v>
      </c>
      <c r="Z2102" s="13"/>
      <c r="AA2102" s="13">
        <f t="shared" si="107"/>
        <v>315555</v>
      </c>
      <c r="AE2102" s="97"/>
      <c r="AL2102" s="94" t="s">
        <v>819</v>
      </c>
      <c r="AM2102" s="86">
        <v>565147</v>
      </c>
    </row>
    <row r="2103" spans="13:39" hidden="1">
      <c r="M2103" s="141">
        <v>323371</v>
      </c>
      <c r="N2103" s="222">
        <v>519043</v>
      </c>
      <c r="O2103" s="142" t="s">
        <v>244</v>
      </c>
      <c r="P2103" s="142" t="s">
        <v>245</v>
      </c>
      <c r="Q2103" s="145">
        <v>539</v>
      </c>
      <c r="R2103" s="142" t="s">
        <v>379</v>
      </c>
      <c r="S2103" s="142" t="s">
        <v>801</v>
      </c>
      <c r="T2103" s="144">
        <v>42722</v>
      </c>
      <c r="U2103" s="172">
        <f t="shared" si="108"/>
        <v>2016</v>
      </c>
      <c r="V2103" s="172">
        <f t="shared" si="109"/>
        <v>12</v>
      </c>
      <c r="W2103" s="97" t="s">
        <v>386</v>
      </c>
      <c r="X2103" t="s">
        <v>892</v>
      </c>
      <c r="Y2103">
        <v>1</v>
      </c>
      <c r="Z2103" s="13"/>
      <c r="AA2103" s="13">
        <f t="shared" si="107"/>
        <v>323371</v>
      </c>
      <c r="AE2103" s="97"/>
      <c r="AL2103" s="94" t="s">
        <v>819</v>
      </c>
      <c r="AM2103" s="86">
        <v>565147</v>
      </c>
    </row>
    <row r="2104" spans="13:39" hidden="1">
      <c r="M2104" s="141">
        <v>323996</v>
      </c>
      <c r="N2104" s="222">
        <v>513323</v>
      </c>
      <c r="O2104" s="142" t="s">
        <v>244</v>
      </c>
      <c r="P2104" s="142" t="s">
        <v>245</v>
      </c>
      <c r="Q2104" s="145">
        <v>389</v>
      </c>
      <c r="R2104" s="142" t="s">
        <v>379</v>
      </c>
      <c r="S2104" s="142" t="s">
        <v>801</v>
      </c>
      <c r="T2104" s="144">
        <v>42722</v>
      </c>
      <c r="U2104" s="172">
        <f t="shared" si="108"/>
        <v>2016</v>
      </c>
      <c r="V2104" s="172">
        <f t="shared" si="109"/>
        <v>12</v>
      </c>
      <c r="W2104" s="97" t="s">
        <v>386</v>
      </c>
      <c r="X2104" t="s">
        <v>892</v>
      </c>
      <c r="Y2104">
        <v>1</v>
      </c>
      <c r="Z2104" s="13"/>
      <c r="AA2104" s="13">
        <f t="shared" si="107"/>
        <v>323996</v>
      </c>
      <c r="AE2104" s="97"/>
      <c r="AL2104" s="94" t="s">
        <v>819</v>
      </c>
      <c r="AM2104" s="86">
        <v>565147</v>
      </c>
    </row>
    <row r="2105" spans="13:39" ht="15.75" hidden="1" thickBot="1">
      <c r="M2105" s="153">
        <v>324018</v>
      </c>
      <c r="N2105" s="227">
        <v>370547</v>
      </c>
      <c r="O2105" s="155" t="s">
        <v>244</v>
      </c>
      <c r="P2105" s="155" t="s">
        <v>245</v>
      </c>
      <c r="Q2105" s="150">
        <v>156</v>
      </c>
      <c r="R2105" s="155" t="s">
        <v>379</v>
      </c>
      <c r="S2105" s="142" t="s">
        <v>801</v>
      </c>
      <c r="T2105" s="158">
        <v>42400</v>
      </c>
      <c r="U2105" s="172">
        <f t="shared" si="108"/>
        <v>2016</v>
      </c>
      <c r="V2105" s="172">
        <f t="shared" si="109"/>
        <v>1</v>
      </c>
      <c r="W2105" s="162" t="s">
        <v>461</v>
      </c>
      <c r="X2105" t="s">
        <v>892</v>
      </c>
      <c r="Y2105" s="41">
        <v>1</v>
      </c>
      <c r="Z2105" s="13"/>
      <c r="AA2105" s="13">
        <f t="shared" si="107"/>
        <v>324018</v>
      </c>
      <c r="AB2105" s="41"/>
      <c r="AC2105" s="41"/>
      <c r="AD2105" s="41"/>
      <c r="AE2105" s="97"/>
      <c r="AL2105" s="94" t="s">
        <v>819</v>
      </c>
      <c r="AM2105" s="86">
        <v>565449</v>
      </c>
    </row>
    <row r="2106" spans="13:39" ht="15.75" hidden="1" thickBot="1">
      <c r="M2106" s="153">
        <v>329555</v>
      </c>
      <c r="N2106" s="227">
        <v>417342</v>
      </c>
      <c r="O2106" s="155" t="s">
        <v>244</v>
      </c>
      <c r="P2106" s="155" t="s">
        <v>245</v>
      </c>
      <c r="Q2106" s="147" t="s">
        <v>409</v>
      </c>
      <c r="R2106" s="155" t="s">
        <v>379</v>
      </c>
      <c r="S2106" s="142" t="s">
        <v>801</v>
      </c>
      <c r="T2106" s="158">
        <v>42722</v>
      </c>
      <c r="U2106" s="172">
        <f t="shared" si="108"/>
        <v>2016</v>
      </c>
      <c r="V2106" s="172">
        <f t="shared" si="109"/>
        <v>12</v>
      </c>
      <c r="W2106" s="162" t="s">
        <v>386</v>
      </c>
      <c r="X2106" t="s">
        <v>892</v>
      </c>
      <c r="Y2106">
        <v>1</v>
      </c>
      <c r="Z2106" s="13"/>
      <c r="AA2106" s="13">
        <f t="shared" si="107"/>
        <v>329555</v>
      </c>
      <c r="AE2106" s="42"/>
      <c r="AL2106" s="94" t="s">
        <v>819</v>
      </c>
      <c r="AM2106" s="86">
        <v>565715</v>
      </c>
    </row>
    <row r="2107" spans="13:39" ht="15.75" hidden="1" thickBot="1">
      <c r="M2107" s="153">
        <v>331555</v>
      </c>
      <c r="N2107" s="227">
        <v>417342</v>
      </c>
      <c r="O2107" s="155" t="s">
        <v>244</v>
      </c>
      <c r="P2107" s="155" t="s">
        <v>245</v>
      </c>
      <c r="Q2107" s="147" t="s">
        <v>408</v>
      </c>
      <c r="R2107" s="155" t="s">
        <v>379</v>
      </c>
      <c r="S2107" s="142" t="s">
        <v>801</v>
      </c>
      <c r="T2107" s="158">
        <v>42722</v>
      </c>
      <c r="U2107" s="172">
        <f t="shared" si="108"/>
        <v>2016</v>
      </c>
      <c r="V2107" s="172">
        <f t="shared" si="109"/>
        <v>12</v>
      </c>
      <c r="W2107" s="162" t="s">
        <v>386</v>
      </c>
      <c r="X2107" t="s">
        <v>892</v>
      </c>
      <c r="Y2107">
        <v>1</v>
      </c>
      <c r="Z2107" s="13"/>
      <c r="AA2107" s="13">
        <f t="shared" si="107"/>
        <v>331555</v>
      </c>
      <c r="AE2107" s="42"/>
      <c r="AL2107" s="94" t="s">
        <v>819</v>
      </c>
      <c r="AM2107" s="86">
        <v>565715</v>
      </c>
    </row>
    <row r="2108" spans="13:39" ht="15.75" hidden="1" thickBot="1">
      <c r="M2108" s="153">
        <v>333000</v>
      </c>
      <c r="N2108" s="227">
        <v>327677</v>
      </c>
      <c r="O2108" s="155" t="s">
        <v>244</v>
      </c>
      <c r="P2108" s="155" t="s">
        <v>245</v>
      </c>
      <c r="Q2108" s="150">
        <v>50</v>
      </c>
      <c r="R2108" s="155" t="s">
        <v>379</v>
      </c>
      <c r="S2108" s="142" t="s">
        <v>801</v>
      </c>
      <c r="T2108" s="158">
        <v>42400</v>
      </c>
      <c r="U2108" s="172">
        <f t="shared" si="108"/>
        <v>2016</v>
      </c>
      <c r="V2108" s="172">
        <f t="shared" si="109"/>
        <v>1</v>
      </c>
      <c r="W2108" s="162" t="s">
        <v>461</v>
      </c>
      <c r="X2108" t="s">
        <v>892</v>
      </c>
      <c r="Y2108" s="41">
        <v>1</v>
      </c>
      <c r="Z2108" s="13"/>
      <c r="AA2108" s="13">
        <f t="shared" si="107"/>
        <v>333000</v>
      </c>
      <c r="AE2108" s="42"/>
      <c r="AL2108" s="94" t="s">
        <v>819</v>
      </c>
      <c r="AM2108" s="86">
        <v>565715</v>
      </c>
    </row>
    <row r="2109" spans="13:39" ht="15.75" hidden="1" thickBot="1">
      <c r="M2109" s="153">
        <v>333088</v>
      </c>
      <c r="N2109" s="227">
        <v>766912</v>
      </c>
      <c r="O2109" s="155" t="s">
        <v>244</v>
      </c>
      <c r="P2109" s="155" t="s">
        <v>245</v>
      </c>
      <c r="Q2109" s="150">
        <v>69</v>
      </c>
      <c r="R2109" s="155" t="s">
        <v>379</v>
      </c>
      <c r="S2109" s="142" t="s">
        <v>801</v>
      </c>
      <c r="T2109" s="158">
        <v>41763</v>
      </c>
      <c r="U2109" s="172">
        <f t="shared" si="108"/>
        <v>2014</v>
      </c>
      <c r="V2109" s="172">
        <f t="shared" si="109"/>
        <v>5</v>
      </c>
      <c r="W2109" s="162" t="s">
        <v>613</v>
      </c>
      <c r="X2109" t="s">
        <v>892</v>
      </c>
      <c r="Y2109" s="41">
        <v>2</v>
      </c>
      <c r="Z2109" s="13"/>
      <c r="AA2109" s="13">
        <f t="shared" si="107"/>
        <v>333088</v>
      </c>
      <c r="AE2109" s="42"/>
      <c r="AL2109" s="94" t="s">
        <v>819</v>
      </c>
      <c r="AM2109" s="86">
        <v>565715</v>
      </c>
    </row>
    <row r="2110" spans="13:39" ht="15.75" hidden="1" thickBot="1">
      <c r="M2110" s="153">
        <v>336000</v>
      </c>
      <c r="N2110" s="227">
        <v>513323</v>
      </c>
      <c r="O2110" s="155" t="s">
        <v>244</v>
      </c>
      <c r="P2110" s="155" t="s">
        <v>245</v>
      </c>
      <c r="Q2110" s="150">
        <v>544</v>
      </c>
      <c r="R2110" s="155" t="s">
        <v>379</v>
      </c>
      <c r="S2110" s="142" t="s">
        <v>801</v>
      </c>
      <c r="T2110" s="158">
        <v>42722</v>
      </c>
      <c r="U2110" s="172">
        <f t="shared" si="108"/>
        <v>2016</v>
      </c>
      <c r="V2110" s="172">
        <f t="shared" si="109"/>
        <v>12</v>
      </c>
      <c r="W2110" s="162" t="s">
        <v>386</v>
      </c>
      <c r="X2110" t="s">
        <v>892</v>
      </c>
      <c r="Y2110">
        <v>1</v>
      </c>
      <c r="Z2110" s="13"/>
      <c r="AA2110" s="13">
        <f t="shared" si="107"/>
        <v>336000</v>
      </c>
      <c r="AE2110" s="42"/>
      <c r="AL2110" s="94" t="s">
        <v>819</v>
      </c>
      <c r="AM2110" s="86">
        <v>565715</v>
      </c>
    </row>
    <row r="2111" spans="13:39" ht="15.75" hidden="1" thickBot="1">
      <c r="M2111" s="153">
        <v>336000</v>
      </c>
      <c r="N2111" s="227">
        <v>538724</v>
      </c>
      <c r="O2111" s="155" t="s">
        <v>244</v>
      </c>
      <c r="P2111" s="155" t="s">
        <v>245</v>
      </c>
      <c r="Q2111" s="150">
        <v>524</v>
      </c>
      <c r="R2111" s="155" t="s">
        <v>379</v>
      </c>
      <c r="S2111" s="142" t="s">
        <v>801</v>
      </c>
      <c r="T2111" s="158">
        <v>42722</v>
      </c>
      <c r="U2111" s="172">
        <f t="shared" si="108"/>
        <v>2016</v>
      </c>
      <c r="V2111" s="172">
        <f t="shared" si="109"/>
        <v>12</v>
      </c>
      <c r="W2111" s="162" t="s">
        <v>386</v>
      </c>
      <c r="X2111" t="s">
        <v>892</v>
      </c>
      <c r="Y2111">
        <v>1</v>
      </c>
      <c r="Z2111" s="13"/>
      <c r="AA2111" s="13">
        <f t="shared" si="107"/>
        <v>336000</v>
      </c>
      <c r="AE2111" s="42"/>
      <c r="AL2111" s="94" t="s">
        <v>819</v>
      </c>
      <c r="AM2111" s="86">
        <v>565715</v>
      </c>
    </row>
    <row r="2112" spans="13:39" ht="15.75" hidden="1" thickBot="1">
      <c r="M2112" s="153">
        <v>352520</v>
      </c>
      <c r="N2112" s="227">
        <v>547445</v>
      </c>
      <c r="O2112" s="155" t="s">
        <v>244</v>
      </c>
      <c r="P2112" s="155" t="s">
        <v>245</v>
      </c>
      <c r="Q2112" s="150">
        <v>551</v>
      </c>
      <c r="R2112" s="155" t="s">
        <v>379</v>
      </c>
      <c r="S2112" s="142" t="s">
        <v>801</v>
      </c>
      <c r="T2112" s="158">
        <v>42722</v>
      </c>
      <c r="U2112" s="172">
        <f t="shared" si="108"/>
        <v>2016</v>
      </c>
      <c r="V2112" s="172">
        <f t="shared" si="109"/>
        <v>12</v>
      </c>
      <c r="W2112" s="162" t="s">
        <v>386</v>
      </c>
      <c r="X2112" t="s">
        <v>892</v>
      </c>
      <c r="Y2112">
        <v>1</v>
      </c>
      <c r="Z2112" s="13"/>
      <c r="AA2112" s="13">
        <f t="shared" si="107"/>
        <v>352520</v>
      </c>
      <c r="AE2112" s="42"/>
      <c r="AL2112" s="94" t="s">
        <v>819</v>
      </c>
      <c r="AM2112" s="86">
        <v>566286</v>
      </c>
    </row>
    <row r="2113" spans="13:39" ht="15.75" hidden="1" thickBot="1">
      <c r="M2113" s="153">
        <v>354000</v>
      </c>
      <c r="N2113" s="227">
        <v>628124</v>
      </c>
      <c r="O2113" s="155" t="s">
        <v>244</v>
      </c>
      <c r="P2113" s="155" t="s">
        <v>245</v>
      </c>
      <c r="Q2113" s="150">
        <v>46</v>
      </c>
      <c r="R2113" s="155" t="s">
        <v>379</v>
      </c>
      <c r="S2113" s="142" t="s">
        <v>801</v>
      </c>
      <c r="T2113" s="158">
        <v>41983</v>
      </c>
      <c r="U2113" s="172">
        <f t="shared" si="108"/>
        <v>2014</v>
      </c>
      <c r="V2113" s="172">
        <f t="shared" si="109"/>
        <v>12</v>
      </c>
      <c r="W2113" s="162" t="s">
        <v>609</v>
      </c>
      <c r="X2113" t="s">
        <v>892</v>
      </c>
      <c r="Y2113" s="41">
        <v>2</v>
      </c>
      <c r="Z2113" s="13"/>
      <c r="AA2113" s="13">
        <f t="shared" si="107"/>
        <v>354000</v>
      </c>
      <c r="AE2113" s="42"/>
      <c r="AL2113" s="94" t="s">
        <v>819</v>
      </c>
      <c r="AM2113" s="86">
        <v>566286</v>
      </c>
    </row>
    <row r="2114" spans="13:39" ht="15.75" hidden="1" thickBot="1">
      <c r="M2114" s="153">
        <v>355555</v>
      </c>
      <c r="N2114" s="227">
        <v>761508</v>
      </c>
      <c r="O2114" s="155" t="s">
        <v>244</v>
      </c>
      <c r="P2114" s="155" t="s">
        <v>245</v>
      </c>
      <c r="Q2114" s="150">
        <v>61</v>
      </c>
      <c r="R2114" s="155" t="s">
        <v>379</v>
      </c>
      <c r="S2114" s="142" t="s">
        <v>801</v>
      </c>
      <c r="T2114" s="158">
        <v>41763</v>
      </c>
      <c r="U2114" s="172">
        <f t="shared" si="108"/>
        <v>2014</v>
      </c>
      <c r="V2114" s="172">
        <f t="shared" si="109"/>
        <v>5</v>
      </c>
      <c r="W2114" s="162" t="s">
        <v>613</v>
      </c>
      <c r="X2114" t="s">
        <v>892</v>
      </c>
      <c r="Y2114" s="41">
        <v>2</v>
      </c>
      <c r="Z2114" s="13"/>
      <c r="AA2114" s="13">
        <f t="shared" si="107"/>
        <v>355555</v>
      </c>
      <c r="AE2114" s="42"/>
      <c r="AL2114" s="94" t="s">
        <v>819</v>
      </c>
      <c r="AM2114" s="86">
        <v>566286</v>
      </c>
    </row>
    <row r="2115" spans="13:39" ht="15.75" hidden="1" thickBot="1">
      <c r="M2115" s="153">
        <v>357148</v>
      </c>
      <c r="N2115" s="227">
        <v>321858</v>
      </c>
      <c r="O2115" s="155" t="s">
        <v>244</v>
      </c>
      <c r="P2115" s="155" t="s">
        <v>245</v>
      </c>
      <c r="Q2115" s="147" t="s">
        <v>457</v>
      </c>
      <c r="R2115" s="155" t="s">
        <v>379</v>
      </c>
      <c r="S2115" s="142" t="s">
        <v>801</v>
      </c>
      <c r="T2115" s="158">
        <v>41987</v>
      </c>
      <c r="U2115" s="172">
        <f t="shared" si="108"/>
        <v>2014</v>
      </c>
      <c r="V2115" s="172">
        <f t="shared" si="109"/>
        <v>12</v>
      </c>
      <c r="W2115" s="162" t="s">
        <v>586</v>
      </c>
      <c r="X2115" t="s">
        <v>892</v>
      </c>
      <c r="Y2115" s="41">
        <v>1</v>
      </c>
      <c r="Z2115" s="13"/>
      <c r="AA2115" s="13">
        <f t="shared" si="107"/>
        <v>357148</v>
      </c>
      <c r="AE2115" s="42"/>
      <c r="AL2115" s="94" t="s">
        <v>819</v>
      </c>
      <c r="AM2115" s="86">
        <v>566286</v>
      </c>
    </row>
    <row r="2116" spans="13:39" ht="15.75" hidden="1" thickBot="1">
      <c r="M2116" s="153">
        <v>360000</v>
      </c>
      <c r="N2116" s="227">
        <v>346616</v>
      </c>
      <c r="O2116" s="155" t="s">
        <v>244</v>
      </c>
      <c r="P2116" s="155" t="s">
        <v>245</v>
      </c>
      <c r="Q2116" s="150">
        <v>39</v>
      </c>
      <c r="R2116" s="155" t="s">
        <v>379</v>
      </c>
      <c r="S2116" s="142" t="s">
        <v>801</v>
      </c>
      <c r="T2116" s="158">
        <v>41987</v>
      </c>
      <c r="U2116" s="172">
        <f t="shared" si="108"/>
        <v>2014</v>
      </c>
      <c r="V2116" s="172">
        <f t="shared" si="109"/>
        <v>12</v>
      </c>
      <c r="W2116" s="162" t="s">
        <v>586</v>
      </c>
      <c r="X2116" t="s">
        <v>892</v>
      </c>
      <c r="Y2116" s="41">
        <v>1</v>
      </c>
      <c r="Z2116" s="13"/>
      <c r="AA2116" s="13">
        <f t="shared" ref="AA2116:AA2179" si="111">IF(M2116&lt;30000,Y2116*100*M2116*(1-$L$1)-$L$2*Y2116,M2116)</f>
        <v>360000</v>
      </c>
      <c r="AE2116" s="42"/>
      <c r="AL2116" s="94" t="s">
        <v>819</v>
      </c>
      <c r="AM2116" s="86">
        <v>566286</v>
      </c>
    </row>
    <row r="2117" spans="13:39" ht="15.75" hidden="1" thickBot="1">
      <c r="M2117" s="153">
        <v>360000</v>
      </c>
      <c r="N2117" s="227">
        <v>364363</v>
      </c>
      <c r="O2117" s="155" t="s">
        <v>244</v>
      </c>
      <c r="P2117" s="155" t="s">
        <v>245</v>
      </c>
      <c r="Q2117" s="150">
        <v>135</v>
      </c>
      <c r="R2117" s="155" t="s">
        <v>379</v>
      </c>
      <c r="S2117" s="142" t="s">
        <v>801</v>
      </c>
      <c r="T2117" s="158">
        <v>42400</v>
      </c>
      <c r="U2117" s="172">
        <f t="shared" si="108"/>
        <v>2016</v>
      </c>
      <c r="V2117" s="172">
        <f t="shared" si="109"/>
        <v>1</v>
      </c>
      <c r="W2117" s="162" t="s">
        <v>461</v>
      </c>
      <c r="X2117" t="s">
        <v>892</v>
      </c>
      <c r="Y2117" s="41">
        <v>1</v>
      </c>
      <c r="Z2117" s="13"/>
      <c r="AA2117" s="13">
        <f t="shared" si="111"/>
        <v>360000</v>
      </c>
      <c r="AE2117" s="42"/>
      <c r="AL2117" s="94" t="s">
        <v>819</v>
      </c>
      <c r="AM2117" s="86">
        <v>566855</v>
      </c>
    </row>
    <row r="2118" spans="13:39" ht="15.75" hidden="1" thickBot="1">
      <c r="M2118" s="153">
        <v>360360</v>
      </c>
      <c r="N2118" s="227">
        <v>615333</v>
      </c>
      <c r="O2118" s="155" t="s">
        <v>244</v>
      </c>
      <c r="P2118" s="155" t="s">
        <v>245</v>
      </c>
      <c r="Q2118" s="150">
        <v>52</v>
      </c>
      <c r="R2118" s="155" t="s">
        <v>379</v>
      </c>
      <c r="S2118" s="142" t="s">
        <v>801</v>
      </c>
      <c r="T2118" s="158">
        <v>41983</v>
      </c>
      <c r="U2118" s="172">
        <f t="shared" si="108"/>
        <v>2014</v>
      </c>
      <c r="V2118" s="172">
        <f t="shared" si="109"/>
        <v>12</v>
      </c>
      <c r="W2118" s="162" t="s">
        <v>609</v>
      </c>
      <c r="X2118" t="s">
        <v>892</v>
      </c>
      <c r="Y2118" s="41">
        <v>2</v>
      </c>
      <c r="Z2118" s="13"/>
      <c r="AA2118" s="13">
        <f t="shared" si="111"/>
        <v>360360</v>
      </c>
      <c r="AE2118" s="42"/>
      <c r="AL2118" s="94" t="s">
        <v>819</v>
      </c>
      <c r="AM2118" s="86">
        <v>566855</v>
      </c>
    </row>
    <row r="2119" spans="13:39" ht="15.75" hidden="1" thickBot="1">
      <c r="M2119" s="153">
        <v>360360</v>
      </c>
      <c r="N2119" s="227">
        <v>761508</v>
      </c>
      <c r="O2119" s="155" t="s">
        <v>244</v>
      </c>
      <c r="P2119" s="155" t="s">
        <v>245</v>
      </c>
      <c r="Q2119" s="150">
        <v>54</v>
      </c>
      <c r="R2119" s="155" t="s">
        <v>379</v>
      </c>
      <c r="S2119" s="142" t="s">
        <v>801</v>
      </c>
      <c r="T2119" s="158">
        <v>41763</v>
      </c>
      <c r="U2119" s="172">
        <f t="shared" ref="U2119:U2182" si="112">YEAR($T2119)</f>
        <v>2014</v>
      </c>
      <c r="V2119" s="172">
        <f t="shared" ref="V2119:V2182" si="113">MONTH($T2119)</f>
        <v>5</v>
      </c>
      <c r="W2119" s="162" t="s">
        <v>613</v>
      </c>
      <c r="X2119" t="s">
        <v>892</v>
      </c>
      <c r="Y2119" s="41">
        <v>2</v>
      </c>
      <c r="Z2119" s="13"/>
      <c r="AA2119" s="13">
        <f t="shared" si="111"/>
        <v>360360</v>
      </c>
      <c r="AE2119" s="42"/>
      <c r="AL2119" s="94" t="s">
        <v>819</v>
      </c>
      <c r="AM2119" s="86">
        <v>566855</v>
      </c>
    </row>
    <row r="2120" spans="13:39" ht="15.75" hidden="1" thickBot="1">
      <c r="M2120" s="153">
        <v>360360</v>
      </c>
      <c r="N2120" s="227">
        <v>761508</v>
      </c>
      <c r="O2120" s="155" t="s">
        <v>244</v>
      </c>
      <c r="P2120" s="155" t="s">
        <v>245</v>
      </c>
      <c r="Q2120" s="150">
        <v>55</v>
      </c>
      <c r="R2120" s="155" t="s">
        <v>379</v>
      </c>
      <c r="S2120" s="142" t="s">
        <v>801</v>
      </c>
      <c r="T2120" s="158">
        <v>41763</v>
      </c>
      <c r="U2120" s="172">
        <f t="shared" si="112"/>
        <v>2014</v>
      </c>
      <c r="V2120" s="172">
        <f t="shared" si="113"/>
        <v>5</v>
      </c>
      <c r="W2120" s="162" t="s">
        <v>613</v>
      </c>
      <c r="X2120" t="s">
        <v>892</v>
      </c>
      <c r="Y2120" s="41">
        <v>2</v>
      </c>
      <c r="Z2120" s="13"/>
      <c r="AA2120" s="13">
        <f t="shared" si="111"/>
        <v>360360</v>
      </c>
      <c r="AE2120" s="42"/>
      <c r="AL2120" s="94" t="s">
        <v>819</v>
      </c>
      <c r="AM2120" s="86">
        <v>567424</v>
      </c>
    </row>
    <row r="2121" spans="13:39" ht="15.75" hidden="1" thickBot="1">
      <c r="M2121" s="153">
        <v>360360</v>
      </c>
      <c r="N2121" s="227">
        <v>789718</v>
      </c>
      <c r="O2121" s="155" t="s">
        <v>244</v>
      </c>
      <c r="P2121" s="155" t="s">
        <v>245</v>
      </c>
      <c r="Q2121" s="150">
        <v>21</v>
      </c>
      <c r="R2121" s="155" t="s">
        <v>379</v>
      </c>
      <c r="S2121" s="142" t="s">
        <v>801</v>
      </c>
      <c r="T2121" s="158">
        <v>41763</v>
      </c>
      <c r="U2121" s="172">
        <f t="shared" si="112"/>
        <v>2014</v>
      </c>
      <c r="V2121" s="172">
        <f t="shared" si="113"/>
        <v>5</v>
      </c>
      <c r="W2121" s="162" t="s">
        <v>613</v>
      </c>
      <c r="X2121" t="s">
        <v>892</v>
      </c>
      <c r="Y2121" s="41">
        <v>2</v>
      </c>
      <c r="Z2121" s="13"/>
      <c r="AA2121" s="13">
        <f t="shared" si="111"/>
        <v>360360</v>
      </c>
      <c r="AE2121" s="42"/>
      <c r="AL2121" s="94" t="s">
        <v>819</v>
      </c>
      <c r="AM2121" s="86">
        <v>567424</v>
      </c>
    </row>
    <row r="2122" spans="13:39" ht="15.75" hidden="1" thickBot="1">
      <c r="M2122" s="153">
        <v>360360</v>
      </c>
      <c r="N2122" s="227">
        <v>795771</v>
      </c>
      <c r="O2122" s="155" t="s">
        <v>244</v>
      </c>
      <c r="P2122" s="155" t="s">
        <v>245</v>
      </c>
      <c r="Q2122" s="150">
        <v>22</v>
      </c>
      <c r="R2122" s="155" t="s">
        <v>379</v>
      </c>
      <c r="S2122" s="142" t="s">
        <v>801</v>
      </c>
      <c r="T2122" s="158">
        <v>41763</v>
      </c>
      <c r="U2122" s="172">
        <f t="shared" si="112"/>
        <v>2014</v>
      </c>
      <c r="V2122" s="172">
        <f t="shared" si="113"/>
        <v>5</v>
      </c>
      <c r="W2122" s="162" t="s">
        <v>613</v>
      </c>
      <c r="X2122" t="s">
        <v>892</v>
      </c>
      <c r="Y2122" s="41">
        <v>2</v>
      </c>
      <c r="Z2122" s="13"/>
      <c r="AA2122" s="13">
        <f t="shared" si="111"/>
        <v>360360</v>
      </c>
      <c r="AE2122" s="42"/>
      <c r="AL2122" s="94" t="s">
        <v>819</v>
      </c>
      <c r="AM2122" s="86">
        <v>567994</v>
      </c>
    </row>
    <row r="2123" spans="13:39" ht="15.75" hidden="1" thickBot="1">
      <c r="M2123" s="153">
        <v>360360</v>
      </c>
      <c r="N2123" s="227">
        <v>833601</v>
      </c>
      <c r="O2123" s="155" t="s">
        <v>244</v>
      </c>
      <c r="P2123" s="155" t="s">
        <v>245</v>
      </c>
      <c r="Q2123" s="150">
        <v>40</v>
      </c>
      <c r="R2123" s="155" t="s">
        <v>379</v>
      </c>
      <c r="S2123" s="142" t="s">
        <v>801</v>
      </c>
      <c r="T2123" s="158">
        <v>41763</v>
      </c>
      <c r="U2123" s="172">
        <f t="shared" si="112"/>
        <v>2014</v>
      </c>
      <c r="V2123" s="172">
        <f t="shared" si="113"/>
        <v>5</v>
      </c>
      <c r="W2123" s="162" t="s">
        <v>613</v>
      </c>
      <c r="X2123" t="s">
        <v>892</v>
      </c>
      <c r="Y2123" s="41">
        <v>2</v>
      </c>
      <c r="Z2123" s="13"/>
      <c r="AA2123" s="13">
        <f t="shared" si="111"/>
        <v>360360</v>
      </c>
      <c r="AE2123" s="42"/>
      <c r="AL2123" s="94" t="s">
        <v>819</v>
      </c>
      <c r="AM2123" s="86">
        <v>567994</v>
      </c>
    </row>
    <row r="2124" spans="13:39" ht="15.75" hidden="1" thickBot="1">
      <c r="M2124" s="153">
        <v>361300</v>
      </c>
      <c r="N2124" s="227">
        <v>637339</v>
      </c>
      <c r="O2124" s="155" t="s">
        <v>244</v>
      </c>
      <c r="P2124" s="155" t="s">
        <v>245</v>
      </c>
      <c r="Q2124" s="150">
        <v>20</v>
      </c>
      <c r="R2124" s="155" t="s">
        <v>379</v>
      </c>
      <c r="S2124" s="142" t="s">
        <v>801</v>
      </c>
      <c r="T2124" s="158">
        <v>41983</v>
      </c>
      <c r="U2124" s="172">
        <f t="shared" si="112"/>
        <v>2014</v>
      </c>
      <c r="V2124" s="172">
        <f t="shared" si="113"/>
        <v>12</v>
      </c>
      <c r="W2124" s="162" t="s">
        <v>609</v>
      </c>
      <c r="X2124" t="s">
        <v>892</v>
      </c>
      <c r="Y2124" s="41">
        <v>2</v>
      </c>
      <c r="Z2124" s="13"/>
      <c r="AA2124" s="13">
        <f t="shared" si="111"/>
        <v>361300</v>
      </c>
      <c r="AE2124" s="42"/>
      <c r="AL2124" s="94" t="s">
        <v>819</v>
      </c>
      <c r="AM2124" s="86">
        <v>567994</v>
      </c>
    </row>
    <row r="2125" spans="13:39" ht="15.75" hidden="1" thickBot="1">
      <c r="M2125" s="153">
        <v>361900</v>
      </c>
      <c r="N2125" s="227">
        <v>620972</v>
      </c>
      <c r="O2125" s="155" t="s">
        <v>244</v>
      </c>
      <c r="P2125" s="155" t="s">
        <v>245</v>
      </c>
      <c r="Q2125" s="150">
        <v>36</v>
      </c>
      <c r="R2125" s="155" t="s">
        <v>379</v>
      </c>
      <c r="S2125" s="142" t="s">
        <v>801</v>
      </c>
      <c r="T2125" s="158">
        <v>41983</v>
      </c>
      <c r="U2125" s="172">
        <f t="shared" si="112"/>
        <v>2014</v>
      </c>
      <c r="V2125" s="172">
        <f t="shared" si="113"/>
        <v>12</v>
      </c>
      <c r="W2125" s="162" t="s">
        <v>609</v>
      </c>
      <c r="X2125" t="s">
        <v>892</v>
      </c>
      <c r="Y2125" s="41">
        <v>2</v>
      </c>
      <c r="Z2125" s="13"/>
      <c r="AA2125" s="13">
        <f t="shared" si="111"/>
        <v>361900</v>
      </c>
      <c r="AE2125" s="42"/>
      <c r="AL2125" s="94" t="s">
        <v>819</v>
      </c>
      <c r="AM2125" s="86">
        <v>568296</v>
      </c>
    </row>
    <row r="2126" spans="13:39" ht="15.75" hidden="1" thickBot="1">
      <c r="M2126" s="153">
        <v>370500</v>
      </c>
      <c r="N2126" s="227">
        <v>620972</v>
      </c>
      <c r="O2126" s="155" t="s">
        <v>244</v>
      </c>
      <c r="P2126" s="155" t="s">
        <v>245</v>
      </c>
      <c r="Q2126" s="150">
        <v>26</v>
      </c>
      <c r="R2126" s="155" t="s">
        <v>379</v>
      </c>
      <c r="S2126" s="142" t="s">
        <v>801</v>
      </c>
      <c r="T2126" s="158">
        <v>41983</v>
      </c>
      <c r="U2126" s="172">
        <f t="shared" si="112"/>
        <v>2014</v>
      </c>
      <c r="V2126" s="172">
        <f t="shared" si="113"/>
        <v>12</v>
      </c>
      <c r="W2126" s="162" t="s">
        <v>609</v>
      </c>
      <c r="X2126" t="s">
        <v>892</v>
      </c>
      <c r="Y2126" s="41">
        <v>2</v>
      </c>
      <c r="Z2126" s="13"/>
      <c r="AA2126" s="13">
        <f t="shared" si="111"/>
        <v>370500</v>
      </c>
      <c r="AE2126" s="42"/>
      <c r="AL2126" s="94" t="s">
        <v>819</v>
      </c>
      <c r="AM2126" s="86">
        <v>568296</v>
      </c>
    </row>
    <row r="2127" spans="13:39" ht="15.75" hidden="1" thickBot="1">
      <c r="M2127" s="153">
        <v>373000</v>
      </c>
      <c r="N2127" s="227">
        <v>518398</v>
      </c>
      <c r="O2127" s="155" t="s">
        <v>244</v>
      </c>
      <c r="P2127" s="155" t="s">
        <v>245</v>
      </c>
      <c r="Q2127" s="150">
        <v>547</v>
      </c>
      <c r="R2127" s="155" t="s">
        <v>379</v>
      </c>
      <c r="S2127" s="142" t="s">
        <v>801</v>
      </c>
      <c r="T2127" s="158">
        <v>42722</v>
      </c>
      <c r="U2127" s="172">
        <f t="shared" si="112"/>
        <v>2016</v>
      </c>
      <c r="V2127" s="172">
        <f t="shared" si="113"/>
        <v>12</v>
      </c>
      <c r="W2127" s="162" t="s">
        <v>386</v>
      </c>
      <c r="X2127" t="s">
        <v>892</v>
      </c>
      <c r="Y2127">
        <v>1</v>
      </c>
      <c r="Z2127" s="13"/>
      <c r="AA2127" s="13">
        <f t="shared" si="111"/>
        <v>373000</v>
      </c>
      <c r="AE2127" s="42"/>
      <c r="AL2127" s="94" t="s">
        <v>819</v>
      </c>
      <c r="AM2127" s="86">
        <v>568563</v>
      </c>
    </row>
    <row r="2128" spans="13:39" ht="15.75" hidden="1" thickBot="1">
      <c r="M2128" s="153">
        <v>375026</v>
      </c>
      <c r="N2128" s="227">
        <v>645522</v>
      </c>
      <c r="O2128" s="155" t="s">
        <v>244</v>
      </c>
      <c r="P2128" s="155" t="s">
        <v>245</v>
      </c>
      <c r="Q2128" s="150">
        <v>23</v>
      </c>
      <c r="R2128" s="155" t="s">
        <v>379</v>
      </c>
      <c r="S2128" s="142" t="s">
        <v>801</v>
      </c>
      <c r="T2128" s="158">
        <v>41983</v>
      </c>
      <c r="U2128" s="172">
        <f t="shared" si="112"/>
        <v>2014</v>
      </c>
      <c r="V2128" s="172">
        <f t="shared" si="113"/>
        <v>12</v>
      </c>
      <c r="W2128" s="162" t="s">
        <v>609</v>
      </c>
      <c r="X2128" t="s">
        <v>892</v>
      </c>
      <c r="Y2128" s="41">
        <v>2</v>
      </c>
      <c r="Z2128" s="13"/>
      <c r="AA2128" s="13">
        <f t="shared" si="111"/>
        <v>375026</v>
      </c>
      <c r="AE2128" s="42"/>
      <c r="AL2128" s="94" t="s">
        <v>819</v>
      </c>
      <c r="AM2128" s="86">
        <v>568563</v>
      </c>
    </row>
    <row r="2129" spans="13:39" ht="15.75" hidden="1" thickBot="1">
      <c r="M2129" s="153">
        <v>376000</v>
      </c>
      <c r="N2129" s="227">
        <v>645522</v>
      </c>
      <c r="O2129" s="155" t="s">
        <v>244</v>
      </c>
      <c r="P2129" s="155" t="s">
        <v>245</v>
      </c>
      <c r="Q2129" s="150">
        <v>24</v>
      </c>
      <c r="R2129" s="155" t="s">
        <v>379</v>
      </c>
      <c r="S2129" s="142" t="s">
        <v>801</v>
      </c>
      <c r="T2129" s="158">
        <v>41983</v>
      </c>
      <c r="U2129" s="172">
        <f t="shared" si="112"/>
        <v>2014</v>
      </c>
      <c r="V2129" s="172">
        <f t="shared" si="113"/>
        <v>12</v>
      </c>
      <c r="W2129" s="162" t="s">
        <v>609</v>
      </c>
      <c r="X2129" t="s">
        <v>892</v>
      </c>
      <c r="Y2129" s="41">
        <v>2</v>
      </c>
      <c r="Z2129" s="13"/>
      <c r="AA2129" s="13">
        <f t="shared" si="111"/>
        <v>376000</v>
      </c>
      <c r="AE2129" s="42"/>
      <c r="AL2129" s="94" t="s">
        <v>819</v>
      </c>
      <c r="AM2129" s="86">
        <v>568563</v>
      </c>
    </row>
    <row r="2130" spans="13:39" ht="15.75" hidden="1" thickBot="1">
      <c r="M2130" s="153">
        <v>377777</v>
      </c>
      <c r="N2130" s="227">
        <v>625579</v>
      </c>
      <c r="O2130" s="155" t="s">
        <v>244</v>
      </c>
      <c r="P2130" s="155" t="s">
        <v>245</v>
      </c>
      <c r="Q2130" s="150">
        <v>56</v>
      </c>
      <c r="R2130" s="155" t="s">
        <v>379</v>
      </c>
      <c r="S2130" s="142" t="s">
        <v>801</v>
      </c>
      <c r="T2130" s="158">
        <v>41983</v>
      </c>
      <c r="U2130" s="172">
        <f t="shared" si="112"/>
        <v>2014</v>
      </c>
      <c r="V2130" s="172">
        <f t="shared" si="113"/>
        <v>12</v>
      </c>
      <c r="W2130" s="162" t="s">
        <v>609</v>
      </c>
      <c r="X2130" t="s">
        <v>892</v>
      </c>
      <c r="Y2130" s="41">
        <v>2</v>
      </c>
      <c r="Z2130" s="13"/>
      <c r="AA2130" s="13">
        <f t="shared" si="111"/>
        <v>377777</v>
      </c>
      <c r="AE2130" s="42"/>
      <c r="AL2130" s="94" t="s">
        <v>819</v>
      </c>
      <c r="AM2130" s="86">
        <v>568563</v>
      </c>
    </row>
    <row r="2131" spans="13:39" ht="15.75" hidden="1" thickBot="1">
      <c r="M2131" s="153">
        <v>377777</v>
      </c>
      <c r="N2131" s="227">
        <v>628124</v>
      </c>
      <c r="O2131" s="155" t="s">
        <v>244</v>
      </c>
      <c r="P2131" s="155" t="s">
        <v>245</v>
      </c>
      <c r="Q2131" s="150">
        <v>45</v>
      </c>
      <c r="R2131" s="155" t="s">
        <v>379</v>
      </c>
      <c r="S2131" s="142" t="s">
        <v>801</v>
      </c>
      <c r="T2131" s="158">
        <v>41983</v>
      </c>
      <c r="U2131" s="172">
        <f t="shared" si="112"/>
        <v>2014</v>
      </c>
      <c r="V2131" s="172">
        <f t="shared" si="113"/>
        <v>12</v>
      </c>
      <c r="W2131" s="162" t="s">
        <v>609</v>
      </c>
      <c r="X2131" t="s">
        <v>892</v>
      </c>
      <c r="Y2131" s="41">
        <v>2</v>
      </c>
      <c r="Z2131" s="13"/>
      <c r="AA2131" s="13">
        <f t="shared" si="111"/>
        <v>377777</v>
      </c>
      <c r="AE2131" s="42"/>
      <c r="AL2131" s="94" t="s">
        <v>819</v>
      </c>
      <c r="AM2131" s="86">
        <v>568563</v>
      </c>
    </row>
    <row r="2132" spans="13:39" ht="15.75" hidden="1" thickBot="1">
      <c r="M2132" s="153">
        <v>377777</v>
      </c>
      <c r="N2132" s="227">
        <v>706381</v>
      </c>
      <c r="O2132" s="155" t="s">
        <v>244</v>
      </c>
      <c r="P2132" s="155" t="s">
        <v>245</v>
      </c>
      <c r="Q2132" s="150">
        <v>17</v>
      </c>
      <c r="R2132" s="155" t="s">
        <v>379</v>
      </c>
      <c r="S2132" s="142" t="s">
        <v>801</v>
      </c>
      <c r="T2132" s="158">
        <v>41983</v>
      </c>
      <c r="U2132" s="172">
        <f t="shared" si="112"/>
        <v>2014</v>
      </c>
      <c r="V2132" s="172">
        <f t="shared" si="113"/>
        <v>12</v>
      </c>
      <c r="W2132" s="162" t="s">
        <v>609</v>
      </c>
      <c r="X2132" t="s">
        <v>892</v>
      </c>
      <c r="Y2132" s="41">
        <v>2</v>
      </c>
      <c r="Z2132" s="13"/>
      <c r="AA2132" s="13">
        <f t="shared" si="111"/>
        <v>377777</v>
      </c>
      <c r="AE2132" s="42"/>
      <c r="AL2132" s="94" t="s">
        <v>819</v>
      </c>
      <c r="AM2132" s="86">
        <v>568563</v>
      </c>
    </row>
    <row r="2133" spans="13:39" ht="15.75" hidden="1" thickBot="1">
      <c r="M2133" s="153">
        <v>378000</v>
      </c>
      <c r="N2133" s="227">
        <v>796960</v>
      </c>
      <c r="O2133" s="155" t="s">
        <v>244</v>
      </c>
      <c r="P2133" s="155" t="s">
        <v>245</v>
      </c>
      <c r="Q2133" s="150">
        <v>25</v>
      </c>
      <c r="R2133" s="155" t="s">
        <v>379</v>
      </c>
      <c r="S2133" s="142" t="s">
        <v>801</v>
      </c>
      <c r="T2133" s="158">
        <v>41763</v>
      </c>
      <c r="U2133" s="172">
        <f t="shared" si="112"/>
        <v>2014</v>
      </c>
      <c r="V2133" s="172">
        <f t="shared" si="113"/>
        <v>5</v>
      </c>
      <c r="W2133" s="162" t="s">
        <v>613</v>
      </c>
      <c r="X2133" t="s">
        <v>892</v>
      </c>
      <c r="Y2133" s="41">
        <v>2</v>
      </c>
      <c r="Z2133" s="13"/>
      <c r="AA2133" s="13">
        <f t="shared" si="111"/>
        <v>378000</v>
      </c>
      <c r="AE2133" s="42"/>
      <c r="AL2133" s="94" t="s">
        <v>819</v>
      </c>
      <c r="AM2133" s="86">
        <v>568563</v>
      </c>
    </row>
    <row r="2134" spans="13:39" ht="15.75" hidden="1" thickBot="1">
      <c r="M2134" s="153">
        <v>380000</v>
      </c>
      <c r="N2134" s="227">
        <v>361793</v>
      </c>
      <c r="O2134" s="155" t="s">
        <v>244</v>
      </c>
      <c r="P2134" s="155" t="s">
        <v>245</v>
      </c>
      <c r="Q2134" s="150">
        <v>74</v>
      </c>
      <c r="R2134" s="155" t="s">
        <v>379</v>
      </c>
      <c r="S2134" s="142" t="s">
        <v>801</v>
      </c>
      <c r="T2134" s="158">
        <v>42400</v>
      </c>
      <c r="U2134" s="172">
        <f t="shared" si="112"/>
        <v>2016</v>
      </c>
      <c r="V2134" s="172">
        <f t="shared" si="113"/>
        <v>1</v>
      </c>
      <c r="W2134" s="162" t="s">
        <v>461</v>
      </c>
      <c r="X2134" t="s">
        <v>892</v>
      </c>
      <c r="Y2134" s="41">
        <v>1</v>
      </c>
      <c r="Z2134" s="13"/>
      <c r="AA2134" s="13">
        <f t="shared" si="111"/>
        <v>380000</v>
      </c>
      <c r="AE2134" s="42"/>
      <c r="AL2134" s="94" t="s">
        <v>819</v>
      </c>
      <c r="AM2134" s="86">
        <v>568866</v>
      </c>
    </row>
    <row r="2135" spans="13:39" ht="15.75" hidden="1" thickBot="1">
      <c r="M2135" s="153">
        <v>380000</v>
      </c>
      <c r="N2135" s="227">
        <v>722921</v>
      </c>
      <c r="O2135" s="155" t="s">
        <v>244</v>
      </c>
      <c r="P2135" s="155" t="s">
        <v>245</v>
      </c>
      <c r="Q2135" s="147" t="s">
        <v>446</v>
      </c>
      <c r="R2135" s="155" t="s">
        <v>379</v>
      </c>
      <c r="S2135" s="142" t="s">
        <v>801</v>
      </c>
      <c r="T2135" s="158">
        <v>42498</v>
      </c>
      <c r="U2135" s="172">
        <f t="shared" si="112"/>
        <v>2016</v>
      </c>
      <c r="V2135" s="172">
        <f t="shared" si="113"/>
        <v>5</v>
      </c>
      <c r="W2135" s="162" t="s">
        <v>445</v>
      </c>
      <c r="X2135" t="s">
        <v>892</v>
      </c>
      <c r="Y2135">
        <v>1</v>
      </c>
      <c r="Z2135" s="13"/>
      <c r="AA2135" s="13">
        <f t="shared" si="111"/>
        <v>380000</v>
      </c>
      <c r="AE2135" s="42"/>
      <c r="AL2135" s="94" t="s">
        <v>819</v>
      </c>
      <c r="AM2135" s="86">
        <v>568866</v>
      </c>
    </row>
    <row r="2136" spans="13:39" ht="15.75" hidden="1" thickBot="1">
      <c r="M2136" s="153">
        <v>381196</v>
      </c>
      <c r="N2136" s="227">
        <v>324064</v>
      </c>
      <c r="O2136" s="155" t="s">
        <v>244</v>
      </c>
      <c r="P2136" s="155" t="s">
        <v>245</v>
      </c>
      <c r="Q2136" s="150">
        <v>115</v>
      </c>
      <c r="R2136" s="155" t="s">
        <v>379</v>
      </c>
      <c r="S2136" s="142" t="s">
        <v>801</v>
      </c>
      <c r="T2136" s="158">
        <v>42673</v>
      </c>
      <c r="U2136" s="172">
        <f t="shared" si="112"/>
        <v>2016</v>
      </c>
      <c r="V2136" s="172">
        <f t="shared" si="113"/>
        <v>10</v>
      </c>
      <c r="W2136" s="162" t="s">
        <v>440</v>
      </c>
      <c r="X2136" t="s">
        <v>892</v>
      </c>
      <c r="Y2136">
        <v>1</v>
      </c>
      <c r="Z2136" s="13"/>
      <c r="AA2136" s="13">
        <f t="shared" si="111"/>
        <v>381196</v>
      </c>
      <c r="AE2136" s="42"/>
      <c r="AL2136" s="94" t="s">
        <v>819</v>
      </c>
      <c r="AM2136" s="86">
        <v>568866</v>
      </c>
    </row>
    <row r="2137" spans="13:39" ht="15.75" hidden="1" thickBot="1">
      <c r="M2137" s="153">
        <v>382000</v>
      </c>
      <c r="N2137" s="227">
        <v>637339</v>
      </c>
      <c r="O2137" s="155" t="s">
        <v>244</v>
      </c>
      <c r="P2137" s="155" t="s">
        <v>245</v>
      </c>
      <c r="Q2137" s="150">
        <v>19</v>
      </c>
      <c r="R2137" s="155" t="s">
        <v>379</v>
      </c>
      <c r="S2137" s="142" t="s">
        <v>801</v>
      </c>
      <c r="T2137" s="158">
        <v>41983</v>
      </c>
      <c r="U2137" s="172">
        <f t="shared" si="112"/>
        <v>2014</v>
      </c>
      <c r="V2137" s="172">
        <f t="shared" si="113"/>
        <v>12</v>
      </c>
      <c r="W2137" s="162" t="s">
        <v>609</v>
      </c>
      <c r="X2137" t="s">
        <v>892</v>
      </c>
      <c r="Y2137" s="41">
        <v>2</v>
      </c>
      <c r="Z2137" s="13"/>
      <c r="AA2137" s="13">
        <f t="shared" si="111"/>
        <v>382000</v>
      </c>
      <c r="AE2137" s="42"/>
      <c r="AL2137" s="94" t="s">
        <v>819</v>
      </c>
      <c r="AM2137" s="86">
        <v>568866</v>
      </c>
    </row>
    <row r="2138" spans="13:39" ht="15.75" hidden="1" thickBot="1">
      <c r="M2138" s="153">
        <v>382500</v>
      </c>
      <c r="N2138" s="227">
        <v>513323</v>
      </c>
      <c r="O2138" s="155" t="s">
        <v>244</v>
      </c>
      <c r="P2138" s="155" t="s">
        <v>245</v>
      </c>
      <c r="Q2138" s="150">
        <v>382</v>
      </c>
      <c r="R2138" s="155" t="s">
        <v>379</v>
      </c>
      <c r="S2138" s="142" t="s">
        <v>801</v>
      </c>
      <c r="T2138" s="158">
        <v>42722</v>
      </c>
      <c r="U2138" s="172">
        <f t="shared" si="112"/>
        <v>2016</v>
      </c>
      <c r="V2138" s="172">
        <f t="shared" si="113"/>
        <v>12</v>
      </c>
      <c r="W2138" s="162" t="s">
        <v>386</v>
      </c>
      <c r="X2138" t="s">
        <v>892</v>
      </c>
      <c r="Y2138">
        <v>1</v>
      </c>
      <c r="Z2138" s="13"/>
      <c r="AA2138" s="13">
        <f t="shared" si="111"/>
        <v>382500</v>
      </c>
      <c r="AE2138" s="42"/>
      <c r="AL2138" s="94" t="s">
        <v>819</v>
      </c>
      <c r="AM2138" s="86">
        <v>568866</v>
      </c>
    </row>
    <row r="2139" spans="13:39" ht="15.75" hidden="1" thickBot="1">
      <c r="M2139" s="153">
        <v>382500</v>
      </c>
      <c r="N2139" s="227">
        <v>513323</v>
      </c>
      <c r="O2139" s="155" t="s">
        <v>244</v>
      </c>
      <c r="P2139" s="155" t="s">
        <v>245</v>
      </c>
      <c r="Q2139" s="150">
        <v>383</v>
      </c>
      <c r="R2139" s="155" t="s">
        <v>379</v>
      </c>
      <c r="S2139" s="142" t="s">
        <v>801</v>
      </c>
      <c r="T2139" s="158">
        <v>42722</v>
      </c>
      <c r="U2139" s="172">
        <f t="shared" si="112"/>
        <v>2016</v>
      </c>
      <c r="V2139" s="172">
        <f t="shared" si="113"/>
        <v>12</v>
      </c>
      <c r="W2139" s="162" t="s">
        <v>386</v>
      </c>
      <c r="X2139" t="s">
        <v>892</v>
      </c>
      <c r="Y2139">
        <v>1</v>
      </c>
      <c r="Z2139" s="13"/>
      <c r="AA2139" s="13">
        <f t="shared" si="111"/>
        <v>382500</v>
      </c>
      <c r="AE2139" s="42"/>
      <c r="AL2139" s="94" t="s">
        <v>819</v>
      </c>
      <c r="AM2139" s="86">
        <v>568866</v>
      </c>
    </row>
    <row r="2140" spans="13:39" ht="15.75" hidden="1" thickBot="1">
      <c r="M2140" s="153">
        <v>384918</v>
      </c>
      <c r="N2140" s="227">
        <v>325202</v>
      </c>
      <c r="O2140" s="155" t="s">
        <v>244</v>
      </c>
      <c r="P2140" s="155" t="s">
        <v>245</v>
      </c>
      <c r="Q2140" s="150">
        <v>32</v>
      </c>
      <c r="R2140" s="155" t="s">
        <v>379</v>
      </c>
      <c r="S2140" s="142" t="s">
        <v>801</v>
      </c>
      <c r="T2140" s="158">
        <v>42493</v>
      </c>
      <c r="U2140" s="172">
        <f t="shared" si="112"/>
        <v>2016</v>
      </c>
      <c r="V2140" s="172">
        <f t="shared" si="113"/>
        <v>5</v>
      </c>
      <c r="W2140" s="162" t="s">
        <v>458</v>
      </c>
      <c r="X2140" t="s">
        <v>892</v>
      </c>
      <c r="Y2140">
        <v>1</v>
      </c>
      <c r="Z2140" s="13"/>
      <c r="AA2140" s="13">
        <f t="shared" si="111"/>
        <v>384918</v>
      </c>
      <c r="AE2140" s="42"/>
      <c r="AL2140" s="94" t="s">
        <v>819</v>
      </c>
      <c r="AM2140" s="86">
        <v>568866</v>
      </c>
    </row>
    <row r="2141" spans="13:39" ht="15.75" hidden="1" thickBot="1">
      <c r="M2141" s="153">
        <v>385000</v>
      </c>
      <c r="N2141" s="227">
        <v>674679</v>
      </c>
      <c r="O2141" s="155" t="s">
        <v>244</v>
      </c>
      <c r="P2141" s="155" t="s">
        <v>245</v>
      </c>
      <c r="Q2141" s="150">
        <v>37</v>
      </c>
      <c r="R2141" s="155" t="s">
        <v>379</v>
      </c>
      <c r="S2141" s="142" t="s">
        <v>801</v>
      </c>
      <c r="T2141" s="158">
        <v>41983</v>
      </c>
      <c r="U2141" s="172">
        <f t="shared" si="112"/>
        <v>2014</v>
      </c>
      <c r="V2141" s="172">
        <f t="shared" si="113"/>
        <v>12</v>
      </c>
      <c r="W2141" s="162" t="s">
        <v>609</v>
      </c>
      <c r="X2141" t="s">
        <v>892</v>
      </c>
      <c r="Y2141" s="41">
        <v>2</v>
      </c>
      <c r="Z2141" s="13"/>
      <c r="AA2141" s="13">
        <f t="shared" si="111"/>
        <v>385000</v>
      </c>
      <c r="AE2141" s="42"/>
      <c r="AL2141" s="94" t="s">
        <v>819</v>
      </c>
      <c r="AM2141" s="86">
        <v>569133</v>
      </c>
    </row>
    <row r="2142" spans="13:39" ht="15.75" hidden="1" thickBot="1">
      <c r="M2142" s="153">
        <v>389000</v>
      </c>
      <c r="N2142" s="227">
        <v>619940</v>
      </c>
      <c r="O2142" s="155" t="s">
        <v>244</v>
      </c>
      <c r="P2142" s="155" t="s">
        <v>245</v>
      </c>
      <c r="Q2142" s="150">
        <v>68</v>
      </c>
      <c r="R2142" s="155" t="s">
        <v>379</v>
      </c>
      <c r="S2142" s="142" t="s">
        <v>801</v>
      </c>
      <c r="T2142" s="158">
        <v>41983</v>
      </c>
      <c r="U2142" s="172">
        <f t="shared" si="112"/>
        <v>2014</v>
      </c>
      <c r="V2142" s="172">
        <f t="shared" si="113"/>
        <v>12</v>
      </c>
      <c r="W2142" s="162" t="s">
        <v>609</v>
      </c>
      <c r="X2142" t="s">
        <v>892</v>
      </c>
      <c r="Y2142" s="41">
        <v>2</v>
      </c>
      <c r="Z2142" s="13"/>
      <c r="AA2142" s="13">
        <f t="shared" si="111"/>
        <v>389000</v>
      </c>
      <c r="AE2142" s="42"/>
      <c r="AL2142" s="94" t="s">
        <v>819</v>
      </c>
      <c r="AM2142" s="86">
        <v>569133</v>
      </c>
    </row>
    <row r="2143" spans="13:39" ht="15.75" hidden="1" thickBot="1">
      <c r="M2143" s="153">
        <v>389389</v>
      </c>
      <c r="N2143" s="227">
        <v>366934</v>
      </c>
      <c r="O2143" s="155" t="s">
        <v>244</v>
      </c>
      <c r="P2143" s="155" t="s">
        <v>245</v>
      </c>
      <c r="Q2143" s="150">
        <v>140</v>
      </c>
      <c r="R2143" s="155" t="s">
        <v>379</v>
      </c>
      <c r="S2143" s="142" t="s">
        <v>801</v>
      </c>
      <c r="T2143" s="158">
        <v>42400</v>
      </c>
      <c r="U2143" s="172">
        <f t="shared" si="112"/>
        <v>2016</v>
      </c>
      <c r="V2143" s="172">
        <f t="shared" si="113"/>
        <v>1</v>
      </c>
      <c r="W2143" s="162" t="s">
        <v>461</v>
      </c>
      <c r="X2143" t="s">
        <v>892</v>
      </c>
      <c r="Y2143" s="41">
        <v>1</v>
      </c>
      <c r="Z2143" s="13"/>
      <c r="AA2143" s="13">
        <f t="shared" si="111"/>
        <v>389389</v>
      </c>
      <c r="AE2143" s="42"/>
      <c r="AL2143" s="94" t="s">
        <v>819</v>
      </c>
      <c r="AM2143" s="86">
        <v>569435</v>
      </c>
    </row>
    <row r="2144" spans="13:39" ht="15.75" hidden="1" thickBot="1">
      <c r="M2144" s="153">
        <v>390000</v>
      </c>
      <c r="N2144" s="227">
        <v>620972</v>
      </c>
      <c r="O2144" s="155" t="s">
        <v>244</v>
      </c>
      <c r="P2144" s="155" t="s">
        <v>245</v>
      </c>
      <c r="Q2144" s="150">
        <v>27</v>
      </c>
      <c r="R2144" s="155" t="s">
        <v>379</v>
      </c>
      <c r="S2144" s="142" t="s">
        <v>801</v>
      </c>
      <c r="T2144" s="158">
        <v>41983</v>
      </c>
      <c r="U2144" s="172">
        <f t="shared" si="112"/>
        <v>2014</v>
      </c>
      <c r="V2144" s="172">
        <f t="shared" si="113"/>
        <v>12</v>
      </c>
      <c r="W2144" s="162" t="s">
        <v>609</v>
      </c>
      <c r="X2144" t="s">
        <v>892</v>
      </c>
      <c r="Y2144" s="41">
        <v>2</v>
      </c>
      <c r="Z2144" s="13"/>
      <c r="AA2144" s="13">
        <f t="shared" si="111"/>
        <v>390000</v>
      </c>
      <c r="AE2144" s="42"/>
      <c r="AL2144" s="94" t="s">
        <v>819</v>
      </c>
      <c r="AM2144" s="86">
        <v>569435</v>
      </c>
    </row>
    <row r="2145" spans="13:39" ht="15.75" hidden="1" thickBot="1">
      <c r="M2145" s="153">
        <v>390391</v>
      </c>
      <c r="N2145" s="227">
        <v>325202</v>
      </c>
      <c r="O2145" s="155" t="s">
        <v>244</v>
      </c>
      <c r="P2145" s="155" t="s">
        <v>245</v>
      </c>
      <c r="Q2145" s="147" t="s">
        <v>457</v>
      </c>
      <c r="R2145" s="155" t="s">
        <v>379</v>
      </c>
      <c r="S2145" s="142" t="s">
        <v>801</v>
      </c>
      <c r="T2145" s="158">
        <v>42493</v>
      </c>
      <c r="U2145" s="172">
        <f t="shared" si="112"/>
        <v>2016</v>
      </c>
      <c r="V2145" s="172">
        <f t="shared" si="113"/>
        <v>5</v>
      </c>
      <c r="W2145" s="162" t="s">
        <v>458</v>
      </c>
      <c r="X2145" t="s">
        <v>892</v>
      </c>
      <c r="Y2145">
        <v>1</v>
      </c>
      <c r="Z2145" s="13"/>
      <c r="AA2145" s="13">
        <f t="shared" si="111"/>
        <v>390391</v>
      </c>
      <c r="AE2145" s="42"/>
      <c r="AL2145" s="94" t="s">
        <v>819</v>
      </c>
      <c r="AM2145" s="86">
        <v>569435</v>
      </c>
    </row>
    <row r="2146" spans="13:39" ht="15.75" hidden="1" thickBot="1">
      <c r="M2146" s="153">
        <v>396074</v>
      </c>
      <c r="N2146" s="227">
        <v>536592</v>
      </c>
      <c r="O2146" s="155" t="s">
        <v>244</v>
      </c>
      <c r="P2146" s="155" t="s">
        <v>245</v>
      </c>
      <c r="Q2146" s="150">
        <v>557</v>
      </c>
      <c r="R2146" s="155" t="s">
        <v>379</v>
      </c>
      <c r="S2146" s="142" t="s">
        <v>801</v>
      </c>
      <c r="T2146" s="158">
        <v>42722</v>
      </c>
      <c r="U2146" s="172">
        <f t="shared" si="112"/>
        <v>2016</v>
      </c>
      <c r="V2146" s="172">
        <f t="shared" si="113"/>
        <v>12</v>
      </c>
      <c r="W2146" s="162" t="s">
        <v>386</v>
      </c>
      <c r="X2146" t="s">
        <v>892</v>
      </c>
      <c r="Y2146">
        <v>1</v>
      </c>
      <c r="Z2146" s="13"/>
      <c r="AA2146" s="13">
        <f t="shared" si="111"/>
        <v>396074</v>
      </c>
      <c r="AE2146" s="42"/>
      <c r="AL2146" s="94" t="s">
        <v>819</v>
      </c>
      <c r="AM2146" s="86">
        <v>569435</v>
      </c>
    </row>
    <row r="2147" spans="13:39" ht="15.75" hidden="1" thickBot="1">
      <c r="M2147" s="153">
        <v>398700</v>
      </c>
      <c r="N2147" s="227">
        <v>513323</v>
      </c>
      <c r="O2147" s="155" t="s">
        <v>244</v>
      </c>
      <c r="P2147" s="155" t="s">
        <v>245</v>
      </c>
      <c r="Q2147" s="150">
        <v>385</v>
      </c>
      <c r="R2147" s="155" t="s">
        <v>379</v>
      </c>
      <c r="S2147" s="142" t="s">
        <v>801</v>
      </c>
      <c r="T2147" s="158">
        <v>42722</v>
      </c>
      <c r="U2147" s="172">
        <f t="shared" si="112"/>
        <v>2016</v>
      </c>
      <c r="V2147" s="172">
        <f t="shared" si="113"/>
        <v>12</v>
      </c>
      <c r="W2147" s="162" t="s">
        <v>386</v>
      </c>
      <c r="X2147" t="s">
        <v>892</v>
      </c>
      <c r="Y2147">
        <v>1</v>
      </c>
      <c r="Z2147" s="13"/>
      <c r="AA2147" s="13">
        <f t="shared" si="111"/>
        <v>398700</v>
      </c>
      <c r="AE2147" s="42"/>
      <c r="AL2147" s="94" t="s">
        <v>819</v>
      </c>
      <c r="AM2147" s="86">
        <v>569435</v>
      </c>
    </row>
    <row r="2148" spans="13:39" ht="15.75" hidden="1" thickBot="1">
      <c r="M2148" s="153">
        <v>399850</v>
      </c>
      <c r="N2148" s="227">
        <v>515889</v>
      </c>
      <c r="O2148" s="155" t="s">
        <v>244</v>
      </c>
      <c r="P2148" s="155" t="s">
        <v>245</v>
      </c>
      <c r="Q2148" s="150">
        <v>562</v>
      </c>
      <c r="R2148" s="155" t="s">
        <v>379</v>
      </c>
      <c r="S2148" s="142" t="s">
        <v>801</v>
      </c>
      <c r="T2148" s="158">
        <v>42722</v>
      </c>
      <c r="U2148" s="172">
        <f t="shared" si="112"/>
        <v>2016</v>
      </c>
      <c r="V2148" s="172">
        <f t="shared" si="113"/>
        <v>12</v>
      </c>
      <c r="W2148" s="162" t="s">
        <v>386</v>
      </c>
      <c r="X2148" t="s">
        <v>892</v>
      </c>
      <c r="Y2148">
        <v>1</v>
      </c>
      <c r="Z2148" s="13"/>
      <c r="AA2148" s="13">
        <f t="shared" si="111"/>
        <v>399850</v>
      </c>
      <c r="AE2148" s="42"/>
      <c r="AL2148" s="94" t="s">
        <v>819</v>
      </c>
      <c r="AM2148" s="86">
        <v>569435</v>
      </c>
    </row>
    <row r="2149" spans="13:39" ht="15.75" hidden="1" thickBot="1">
      <c r="M2149" s="153">
        <v>400000</v>
      </c>
      <c r="N2149" s="227">
        <v>441357</v>
      </c>
      <c r="O2149" s="155" t="s">
        <v>244</v>
      </c>
      <c r="P2149" s="155" t="s">
        <v>245</v>
      </c>
      <c r="Q2149" s="147" t="s">
        <v>421</v>
      </c>
      <c r="R2149" s="155" t="s">
        <v>379</v>
      </c>
      <c r="S2149" s="142" t="s">
        <v>801</v>
      </c>
      <c r="T2149" s="158">
        <v>42722</v>
      </c>
      <c r="U2149" s="172">
        <f t="shared" si="112"/>
        <v>2016</v>
      </c>
      <c r="V2149" s="172">
        <f t="shared" si="113"/>
        <v>12</v>
      </c>
      <c r="W2149" s="162" t="s">
        <v>386</v>
      </c>
      <c r="X2149" t="s">
        <v>892</v>
      </c>
      <c r="Y2149">
        <v>1</v>
      </c>
      <c r="Z2149" s="13"/>
      <c r="AA2149" s="13">
        <f t="shared" si="111"/>
        <v>400000</v>
      </c>
      <c r="AE2149" s="42"/>
      <c r="AL2149" s="94" t="s">
        <v>819</v>
      </c>
      <c r="AM2149" s="86">
        <v>569435</v>
      </c>
    </row>
    <row r="2150" spans="13:39" ht="15.75" hidden="1" thickBot="1">
      <c r="M2150" s="153">
        <v>403063</v>
      </c>
      <c r="N2150" s="227">
        <v>552620</v>
      </c>
      <c r="O2150" s="155" t="s">
        <v>244</v>
      </c>
      <c r="P2150" s="155" t="s">
        <v>245</v>
      </c>
      <c r="Q2150" s="150">
        <v>548</v>
      </c>
      <c r="R2150" s="155" t="s">
        <v>379</v>
      </c>
      <c r="S2150" s="142" t="s">
        <v>801</v>
      </c>
      <c r="T2150" s="158">
        <v>42722</v>
      </c>
      <c r="U2150" s="172">
        <f t="shared" si="112"/>
        <v>2016</v>
      </c>
      <c r="V2150" s="172">
        <f t="shared" si="113"/>
        <v>12</v>
      </c>
      <c r="W2150" s="162" t="s">
        <v>386</v>
      </c>
      <c r="X2150" t="s">
        <v>892</v>
      </c>
      <c r="Y2150">
        <v>1</v>
      </c>
      <c r="Z2150" s="13"/>
      <c r="AA2150" s="13">
        <f t="shared" si="111"/>
        <v>403063</v>
      </c>
      <c r="AE2150" s="42"/>
      <c r="AL2150" s="94" t="s">
        <v>819</v>
      </c>
      <c r="AM2150" s="86">
        <v>569702</v>
      </c>
    </row>
    <row r="2151" spans="13:39" ht="15.75" hidden="1" thickBot="1">
      <c r="M2151" s="153">
        <v>405555</v>
      </c>
      <c r="N2151" s="227">
        <v>615333</v>
      </c>
      <c r="O2151" s="155" t="s">
        <v>244</v>
      </c>
      <c r="P2151" s="155" t="s">
        <v>245</v>
      </c>
      <c r="Q2151" s="150">
        <v>53</v>
      </c>
      <c r="R2151" s="155" t="s">
        <v>379</v>
      </c>
      <c r="S2151" s="142" t="s">
        <v>801</v>
      </c>
      <c r="T2151" s="158">
        <v>41983</v>
      </c>
      <c r="U2151" s="172">
        <f t="shared" si="112"/>
        <v>2014</v>
      </c>
      <c r="V2151" s="172">
        <f t="shared" si="113"/>
        <v>12</v>
      </c>
      <c r="W2151" s="162" t="s">
        <v>609</v>
      </c>
      <c r="X2151" t="s">
        <v>892</v>
      </c>
      <c r="Y2151" s="41">
        <v>2</v>
      </c>
      <c r="Z2151" s="13"/>
      <c r="AA2151" s="13">
        <f t="shared" si="111"/>
        <v>405555</v>
      </c>
      <c r="AE2151" s="42"/>
      <c r="AL2151" s="94" t="s">
        <v>819</v>
      </c>
      <c r="AM2151" s="86">
        <v>569702</v>
      </c>
    </row>
    <row r="2152" spans="13:39" ht="15.75" hidden="1" thickBot="1">
      <c r="M2152" s="153">
        <v>405752</v>
      </c>
      <c r="N2152" s="227">
        <v>675112</v>
      </c>
      <c r="O2152" s="155" t="s">
        <v>244</v>
      </c>
      <c r="P2152" s="155" t="s">
        <v>245</v>
      </c>
      <c r="Q2152" s="150">
        <v>34</v>
      </c>
      <c r="R2152" s="155" t="s">
        <v>379</v>
      </c>
      <c r="S2152" s="142" t="s">
        <v>801</v>
      </c>
      <c r="T2152" s="158">
        <v>41983</v>
      </c>
      <c r="U2152" s="172">
        <f t="shared" si="112"/>
        <v>2014</v>
      </c>
      <c r="V2152" s="172">
        <f t="shared" si="113"/>
        <v>12</v>
      </c>
      <c r="W2152" s="162" t="s">
        <v>609</v>
      </c>
      <c r="X2152" t="s">
        <v>892</v>
      </c>
      <c r="Y2152" s="41">
        <v>2</v>
      </c>
      <c r="Z2152" s="13"/>
      <c r="AA2152" s="13">
        <f t="shared" si="111"/>
        <v>405752</v>
      </c>
      <c r="AE2152" s="42"/>
      <c r="AL2152" s="94" t="s">
        <v>819</v>
      </c>
      <c r="AM2152" s="86">
        <v>569702</v>
      </c>
    </row>
    <row r="2153" spans="13:39" ht="15.75" hidden="1" thickBot="1">
      <c r="M2153" s="153">
        <v>407770</v>
      </c>
      <c r="N2153" s="227">
        <v>763885</v>
      </c>
      <c r="O2153" s="155" t="s">
        <v>244</v>
      </c>
      <c r="P2153" s="155" t="s">
        <v>245</v>
      </c>
      <c r="Q2153" s="150">
        <v>42</v>
      </c>
      <c r="R2153" s="155" t="s">
        <v>379</v>
      </c>
      <c r="S2153" s="142" t="s">
        <v>801</v>
      </c>
      <c r="T2153" s="158">
        <v>41763</v>
      </c>
      <c r="U2153" s="172">
        <f t="shared" si="112"/>
        <v>2014</v>
      </c>
      <c r="V2153" s="172">
        <f t="shared" si="113"/>
        <v>5</v>
      </c>
      <c r="W2153" s="162" t="s">
        <v>613</v>
      </c>
      <c r="X2153" t="s">
        <v>892</v>
      </c>
      <c r="Y2153" s="41">
        <v>2</v>
      </c>
      <c r="Z2153" s="13"/>
      <c r="AA2153" s="13">
        <f t="shared" si="111"/>
        <v>407770</v>
      </c>
      <c r="AE2153" s="42"/>
      <c r="AL2153" s="94" t="s">
        <v>819</v>
      </c>
      <c r="AM2153" s="86">
        <v>569702</v>
      </c>
    </row>
    <row r="2154" spans="13:39" ht="15.75" hidden="1" thickBot="1">
      <c r="M2154" s="153">
        <v>409550</v>
      </c>
      <c r="N2154" s="227">
        <v>515889</v>
      </c>
      <c r="O2154" s="155" t="s">
        <v>244</v>
      </c>
      <c r="P2154" s="155" t="s">
        <v>245</v>
      </c>
      <c r="Q2154" s="150">
        <v>563</v>
      </c>
      <c r="R2154" s="155" t="s">
        <v>379</v>
      </c>
      <c r="S2154" s="142" t="s">
        <v>801</v>
      </c>
      <c r="T2154" s="158">
        <v>42722</v>
      </c>
      <c r="U2154" s="172">
        <f t="shared" si="112"/>
        <v>2016</v>
      </c>
      <c r="V2154" s="172">
        <f t="shared" si="113"/>
        <v>12</v>
      </c>
      <c r="W2154" s="162" t="s">
        <v>386</v>
      </c>
      <c r="X2154" t="s">
        <v>892</v>
      </c>
      <c r="Y2154">
        <v>1</v>
      </c>
      <c r="Z2154" s="13"/>
      <c r="AA2154" s="13">
        <f t="shared" si="111"/>
        <v>409550</v>
      </c>
      <c r="AE2154" s="42"/>
      <c r="AL2154" s="94" t="s">
        <v>819</v>
      </c>
      <c r="AM2154" s="86">
        <v>569702</v>
      </c>
    </row>
    <row r="2155" spans="13:39" ht="15.75" hidden="1" thickBot="1">
      <c r="M2155" s="153">
        <v>415560</v>
      </c>
      <c r="N2155" s="227">
        <v>513323</v>
      </c>
      <c r="O2155" s="155" t="s">
        <v>244</v>
      </c>
      <c r="P2155" s="155" t="s">
        <v>245</v>
      </c>
      <c r="Q2155" s="150">
        <v>391</v>
      </c>
      <c r="R2155" s="155" t="s">
        <v>379</v>
      </c>
      <c r="S2155" s="142" t="s">
        <v>801</v>
      </c>
      <c r="T2155" s="158">
        <v>42722</v>
      </c>
      <c r="U2155" s="172">
        <f t="shared" si="112"/>
        <v>2016</v>
      </c>
      <c r="V2155" s="172">
        <f t="shared" si="113"/>
        <v>12</v>
      </c>
      <c r="W2155" s="162" t="s">
        <v>386</v>
      </c>
      <c r="X2155" t="s">
        <v>892</v>
      </c>
      <c r="Y2155">
        <v>1</v>
      </c>
      <c r="Z2155" s="13"/>
      <c r="AA2155" s="13">
        <f t="shared" si="111"/>
        <v>415560</v>
      </c>
      <c r="AE2155" s="42"/>
      <c r="AL2155" s="94" t="s">
        <v>819</v>
      </c>
      <c r="AM2155" s="86">
        <v>570272</v>
      </c>
    </row>
    <row r="2156" spans="13:39" ht="15.75" hidden="1" thickBot="1">
      <c r="M2156" s="153">
        <v>420000</v>
      </c>
      <c r="N2156" s="227">
        <v>765723</v>
      </c>
      <c r="O2156" s="155" t="s">
        <v>244</v>
      </c>
      <c r="P2156" s="155" t="s">
        <v>245</v>
      </c>
      <c r="Q2156" s="150">
        <v>44</v>
      </c>
      <c r="R2156" s="155" t="s">
        <v>379</v>
      </c>
      <c r="S2156" s="142" t="s">
        <v>801</v>
      </c>
      <c r="T2156" s="158">
        <v>41763</v>
      </c>
      <c r="U2156" s="172">
        <f t="shared" si="112"/>
        <v>2014</v>
      </c>
      <c r="V2156" s="172">
        <f t="shared" si="113"/>
        <v>5</v>
      </c>
      <c r="W2156" s="162" t="s">
        <v>613</v>
      </c>
      <c r="X2156" t="s">
        <v>892</v>
      </c>
      <c r="Y2156" s="41">
        <v>2</v>
      </c>
      <c r="Z2156" s="13"/>
      <c r="AA2156" s="13">
        <f t="shared" si="111"/>
        <v>420000</v>
      </c>
      <c r="AE2156" s="42"/>
      <c r="AL2156" s="94" t="s">
        <v>819</v>
      </c>
      <c r="AM2156" s="86">
        <v>570272</v>
      </c>
    </row>
    <row r="2157" spans="13:39" ht="15.75" hidden="1" thickBot="1">
      <c r="M2157" s="153">
        <v>422555</v>
      </c>
      <c r="N2157" s="227">
        <v>525423</v>
      </c>
      <c r="O2157" s="155" t="s">
        <v>244</v>
      </c>
      <c r="P2157" s="155" t="s">
        <v>245</v>
      </c>
      <c r="Q2157" s="150">
        <v>381</v>
      </c>
      <c r="R2157" s="155" t="s">
        <v>379</v>
      </c>
      <c r="S2157" s="142" t="s">
        <v>801</v>
      </c>
      <c r="T2157" s="158">
        <v>42722</v>
      </c>
      <c r="U2157" s="172">
        <f t="shared" si="112"/>
        <v>2016</v>
      </c>
      <c r="V2157" s="172">
        <f t="shared" si="113"/>
        <v>12</v>
      </c>
      <c r="W2157" s="162" t="s">
        <v>386</v>
      </c>
      <c r="X2157" t="s">
        <v>892</v>
      </c>
      <c r="Y2157">
        <v>1</v>
      </c>
      <c r="Z2157" s="13"/>
      <c r="AA2157" s="13">
        <f t="shared" si="111"/>
        <v>422555</v>
      </c>
      <c r="AE2157" s="42"/>
      <c r="AL2157" s="88" t="s">
        <v>819</v>
      </c>
      <c r="AM2157" s="86">
        <v>570401</v>
      </c>
    </row>
    <row r="2158" spans="13:39" ht="15.75" hidden="1" thickBot="1">
      <c r="M2158" s="153">
        <v>423000</v>
      </c>
      <c r="N2158" s="227">
        <v>761508</v>
      </c>
      <c r="O2158" s="155" t="s">
        <v>244</v>
      </c>
      <c r="P2158" s="155" t="s">
        <v>245</v>
      </c>
      <c r="Q2158" s="150">
        <v>59</v>
      </c>
      <c r="R2158" s="155" t="s">
        <v>379</v>
      </c>
      <c r="S2158" s="142" t="s">
        <v>801</v>
      </c>
      <c r="T2158" s="158">
        <v>41763</v>
      </c>
      <c r="U2158" s="172">
        <f t="shared" si="112"/>
        <v>2014</v>
      </c>
      <c r="V2158" s="172">
        <f t="shared" si="113"/>
        <v>5</v>
      </c>
      <c r="W2158" s="162" t="s">
        <v>613</v>
      </c>
      <c r="X2158" t="s">
        <v>892</v>
      </c>
      <c r="Y2158" s="41">
        <v>2</v>
      </c>
      <c r="Z2158" s="13"/>
      <c r="AA2158" s="13">
        <f t="shared" si="111"/>
        <v>423000</v>
      </c>
      <c r="AE2158" s="42"/>
      <c r="AL2158" s="88" t="s">
        <v>819</v>
      </c>
      <c r="AM2158" s="86">
        <v>570401</v>
      </c>
    </row>
    <row r="2159" spans="13:39" ht="15.75" hidden="1" thickBot="1">
      <c r="M2159" s="153">
        <v>428018</v>
      </c>
      <c r="N2159" s="227">
        <v>365703</v>
      </c>
      <c r="O2159" s="155" t="s">
        <v>244</v>
      </c>
      <c r="P2159" s="155" t="s">
        <v>245</v>
      </c>
      <c r="Q2159" s="150">
        <v>144</v>
      </c>
      <c r="R2159" s="155" t="s">
        <v>379</v>
      </c>
      <c r="S2159" s="142" t="s">
        <v>801</v>
      </c>
      <c r="T2159" s="158">
        <v>42400</v>
      </c>
      <c r="U2159" s="172">
        <f t="shared" si="112"/>
        <v>2016</v>
      </c>
      <c r="V2159" s="172">
        <f t="shared" si="113"/>
        <v>1</v>
      </c>
      <c r="W2159" s="162" t="s">
        <v>461</v>
      </c>
      <c r="X2159" t="s">
        <v>892</v>
      </c>
      <c r="Y2159" s="41">
        <v>1</v>
      </c>
      <c r="Z2159" s="13"/>
      <c r="AA2159" s="13">
        <f t="shared" si="111"/>
        <v>428018</v>
      </c>
      <c r="AE2159" s="42"/>
      <c r="AL2159" s="94" t="s">
        <v>819</v>
      </c>
      <c r="AM2159" s="86">
        <v>570841</v>
      </c>
    </row>
    <row r="2160" spans="13:39" ht="15.75" hidden="1" thickBot="1">
      <c r="M2160" s="153">
        <v>432230</v>
      </c>
      <c r="N2160" s="227">
        <v>674679</v>
      </c>
      <c r="O2160" s="155" t="s">
        <v>244</v>
      </c>
      <c r="P2160" s="155" t="s">
        <v>245</v>
      </c>
      <c r="Q2160" s="150">
        <v>35</v>
      </c>
      <c r="R2160" s="155" t="s">
        <v>379</v>
      </c>
      <c r="S2160" s="142" t="s">
        <v>801</v>
      </c>
      <c r="T2160" s="158">
        <v>41983</v>
      </c>
      <c r="U2160" s="172">
        <f t="shared" si="112"/>
        <v>2014</v>
      </c>
      <c r="V2160" s="172">
        <f t="shared" si="113"/>
        <v>12</v>
      </c>
      <c r="W2160" s="162" t="s">
        <v>609</v>
      </c>
      <c r="X2160" t="s">
        <v>892</v>
      </c>
      <c r="Y2160" s="41">
        <v>2</v>
      </c>
      <c r="Z2160" s="13"/>
      <c r="AA2160" s="13">
        <f t="shared" si="111"/>
        <v>432230</v>
      </c>
      <c r="AE2160" s="42"/>
      <c r="AL2160" s="94" t="s">
        <v>819</v>
      </c>
      <c r="AM2160" s="86">
        <v>570841</v>
      </c>
    </row>
    <row r="2161" spans="13:39" ht="15.75" hidden="1" thickBot="1">
      <c r="M2161" s="153">
        <v>436733</v>
      </c>
      <c r="N2161" s="227">
        <v>763885</v>
      </c>
      <c r="O2161" s="155" t="s">
        <v>244</v>
      </c>
      <c r="P2161" s="155" t="s">
        <v>245</v>
      </c>
      <c r="Q2161" s="150">
        <v>43</v>
      </c>
      <c r="R2161" s="155" t="s">
        <v>379</v>
      </c>
      <c r="S2161" s="142" t="s">
        <v>801</v>
      </c>
      <c r="T2161" s="158">
        <v>41763</v>
      </c>
      <c r="U2161" s="172">
        <f t="shared" si="112"/>
        <v>2014</v>
      </c>
      <c r="V2161" s="172">
        <f t="shared" si="113"/>
        <v>5</v>
      </c>
      <c r="W2161" s="162" t="s">
        <v>613</v>
      </c>
      <c r="X2161" t="s">
        <v>892</v>
      </c>
      <c r="Y2161" s="41">
        <v>2</v>
      </c>
      <c r="Z2161" s="13"/>
      <c r="AA2161" s="13">
        <f t="shared" si="111"/>
        <v>436733</v>
      </c>
      <c r="AE2161" s="42"/>
      <c r="AL2161" s="94" t="s">
        <v>819</v>
      </c>
      <c r="AM2161" s="86">
        <v>570841</v>
      </c>
    </row>
    <row r="2162" spans="13:39" ht="15.75" hidden="1" thickBot="1">
      <c r="M2162" s="153">
        <v>444444</v>
      </c>
      <c r="N2162" s="227">
        <v>619940</v>
      </c>
      <c r="O2162" s="155" t="s">
        <v>244</v>
      </c>
      <c r="P2162" s="155" t="s">
        <v>245</v>
      </c>
      <c r="Q2162" s="150">
        <v>57</v>
      </c>
      <c r="R2162" s="155" t="s">
        <v>379</v>
      </c>
      <c r="S2162" s="142" t="s">
        <v>801</v>
      </c>
      <c r="T2162" s="158">
        <v>41983</v>
      </c>
      <c r="U2162" s="172">
        <f t="shared" si="112"/>
        <v>2014</v>
      </c>
      <c r="V2162" s="172">
        <f t="shared" si="113"/>
        <v>12</v>
      </c>
      <c r="W2162" s="162" t="s">
        <v>609</v>
      </c>
      <c r="X2162" t="s">
        <v>892</v>
      </c>
      <c r="Y2162" s="41">
        <v>2</v>
      </c>
      <c r="Z2162" s="13"/>
      <c r="AA2162" s="13">
        <f t="shared" si="111"/>
        <v>444444</v>
      </c>
      <c r="AE2162" s="42"/>
      <c r="AL2162" s="94" t="s">
        <v>819</v>
      </c>
      <c r="AM2162" s="86">
        <v>570841</v>
      </c>
    </row>
    <row r="2163" spans="13:39" ht="15.75" hidden="1" thickBot="1">
      <c r="M2163" s="153">
        <v>444445</v>
      </c>
      <c r="N2163" s="227">
        <v>7455771</v>
      </c>
      <c r="O2163" s="155" t="s">
        <v>248</v>
      </c>
      <c r="P2163" s="155" t="s">
        <v>245</v>
      </c>
      <c r="Q2163" s="150">
        <v>22083</v>
      </c>
      <c r="R2163" s="155" t="s">
        <v>615</v>
      </c>
      <c r="S2163" s="142" t="s">
        <v>801</v>
      </c>
      <c r="T2163" s="158">
        <v>41451</v>
      </c>
      <c r="U2163" s="172">
        <f t="shared" si="112"/>
        <v>2013</v>
      </c>
      <c r="V2163" s="172">
        <f t="shared" si="113"/>
        <v>6</v>
      </c>
      <c r="W2163" s="162" t="s">
        <v>620</v>
      </c>
      <c r="X2163" t="s">
        <v>894</v>
      </c>
      <c r="Y2163" s="41">
        <v>64</v>
      </c>
      <c r="Z2163" s="13">
        <v>4829</v>
      </c>
      <c r="AA2163" s="13">
        <f t="shared" si="111"/>
        <v>444445</v>
      </c>
      <c r="AE2163" s="42"/>
      <c r="AL2163" s="94" t="s">
        <v>819</v>
      </c>
      <c r="AM2163" s="86">
        <v>570841</v>
      </c>
    </row>
    <row r="2164" spans="13:39" ht="15.75" hidden="1" thickBot="1">
      <c r="M2164" s="153">
        <v>450000</v>
      </c>
      <c r="N2164" s="227">
        <v>383624</v>
      </c>
      <c r="O2164" s="155" t="s">
        <v>244</v>
      </c>
      <c r="P2164" s="155" t="s">
        <v>245</v>
      </c>
      <c r="Q2164" s="147" t="s">
        <v>453</v>
      </c>
      <c r="R2164" s="155" t="s">
        <v>379</v>
      </c>
      <c r="S2164" s="142" t="s">
        <v>801</v>
      </c>
      <c r="T2164" s="158">
        <v>42169</v>
      </c>
      <c r="U2164" s="172">
        <f t="shared" si="112"/>
        <v>2015</v>
      </c>
      <c r="V2164" s="172">
        <f t="shared" si="113"/>
        <v>6</v>
      </c>
      <c r="W2164" s="162" t="s">
        <v>464</v>
      </c>
      <c r="X2164" t="s">
        <v>892</v>
      </c>
      <c r="Y2164" s="41">
        <v>1</v>
      </c>
      <c r="Z2164" s="13"/>
      <c r="AA2164" s="13">
        <f t="shared" si="111"/>
        <v>450000</v>
      </c>
      <c r="AE2164" s="42"/>
      <c r="AL2164" s="94" t="s">
        <v>819</v>
      </c>
      <c r="AM2164" s="86">
        <v>571145</v>
      </c>
    </row>
    <row r="2165" spans="13:39" ht="15.75" hidden="1" thickBot="1">
      <c r="M2165" s="153">
        <v>451100</v>
      </c>
      <c r="N2165" s="227">
        <v>674679</v>
      </c>
      <c r="O2165" s="155" t="s">
        <v>244</v>
      </c>
      <c r="P2165" s="155" t="s">
        <v>245</v>
      </c>
      <c r="Q2165" s="150">
        <v>38</v>
      </c>
      <c r="R2165" s="155" t="s">
        <v>379</v>
      </c>
      <c r="S2165" s="142" t="s">
        <v>801</v>
      </c>
      <c r="T2165" s="158">
        <v>41983</v>
      </c>
      <c r="U2165" s="172">
        <f t="shared" si="112"/>
        <v>2014</v>
      </c>
      <c r="V2165" s="172">
        <f t="shared" si="113"/>
        <v>12</v>
      </c>
      <c r="W2165" s="162" t="s">
        <v>609</v>
      </c>
      <c r="X2165" t="s">
        <v>892</v>
      </c>
      <c r="Y2165" s="41">
        <v>2</v>
      </c>
      <c r="Z2165" s="13"/>
      <c r="AA2165" s="13">
        <f t="shared" si="111"/>
        <v>451100</v>
      </c>
      <c r="AE2165" s="42"/>
      <c r="AL2165" s="94" t="s">
        <v>819</v>
      </c>
      <c r="AM2165" s="86">
        <v>5712597</v>
      </c>
    </row>
    <row r="2166" spans="13:39" ht="15.75" hidden="1" thickBot="1">
      <c r="M2166" s="153">
        <v>477000</v>
      </c>
      <c r="N2166" s="227">
        <v>559723</v>
      </c>
      <c r="O2166" s="155" t="s">
        <v>244</v>
      </c>
      <c r="P2166" s="155" t="s">
        <v>245</v>
      </c>
      <c r="Q2166" s="150">
        <v>541</v>
      </c>
      <c r="R2166" s="155" t="s">
        <v>379</v>
      </c>
      <c r="S2166" s="142" t="s">
        <v>801</v>
      </c>
      <c r="T2166" s="158">
        <v>42722</v>
      </c>
      <c r="U2166" s="172">
        <f t="shared" si="112"/>
        <v>2016</v>
      </c>
      <c r="V2166" s="172">
        <f t="shared" si="113"/>
        <v>12</v>
      </c>
      <c r="W2166" s="162" t="s">
        <v>386</v>
      </c>
      <c r="X2166" t="s">
        <v>892</v>
      </c>
      <c r="Y2166">
        <v>1</v>
      </c>
      <c r="Z2166" s="13"/>
      <c r="AA2166" s="13">
        <f t="shared" si="111"/>
        <v>477000</v>
      </c>
      <c r="AE2166" s="42"/>
      <c r="AL2166" s="94" t="s">
        <v>819</v>
      </c>
      <c r="AM2166" s="86">
        <v>571410</v>
      </c>
    </row>
    <row r="2167" spans="13:39" ht="15.75" hidden="1" thickBot="1">
      <c r="M2167" s="153">
        <v>477770</v>
      </c>
      <c r="N2167" s="227">
        <v>264850</v>
      </c>
      <c r="O2167" s="155" t="s">
        <v>244</v>
      </c>
      <c r="P2167" s="155" t="s">
        <v>245</v>
      </c>
      <c r="Q2167" s="150">
        <v>15</v>
      </c>
      <c r="R2167" s="155" t="s">
        <v>379</v>
      </c>
      <c r="S2167" s="142" t="s">
        <v>801</v>
      </c>
      <c r="T2167" s="158">
        <v>42731</v>
      </c>
      <c r="U2167" s="172">
        <f t="shared" si="112"/>
        <v>2016</v>
      </c>
      <c r="V2167" s="172">
        <f t="shared" si="113"/>
        <v>12</v>
      </c>
      <c r="W2167" s="162" t="s">
        <v>384</v>
      </c>
      <c r="X2167" t="s">
        <v>892</v>
      </c>
      <c r="Y2167" s="41">
        <v>1</v>
      </c>
      <c r="Z2167" s="13"/>
      <c r="AA2167" s="13">
        <f t="shared" si="111"/>
        <v>477770</v>
      </c>
      <c r="AE2167" s="42"/>
      <c r="AL2167" s="94" t="s">
        <v>819</v>
      </c>
      <c r="AM2167" s="86">
        <v>571410</v>
      </c>
    </row>
    <row r="2168" spans="13:39" ht="15.75" hidden="1" thickBot="1">
      <c r="M2168" s="153">
        <v>480770</v>
      </c>
      <c r="N2168" s="227">
        <v>264850</v>
      </c>
      <c r="O2168" s="155" t="s">
        <v>244</v>
      </c>
      <c r="P2168" s="155" t="s">
        <v>245</v>
      </c>
      <c r="Q2168" s="147" t="s">
        <v>383</v>
      </c>
      <c r="R2168" s="155" t="s">
        <v>379</v>
      </c>
      <c r="S2168" s="142" t="s">
        <v>801</v>
      </c>
      <c r="T2168" s="158">
        <v>42731</v>
      </c>
      <c r="U2168" s="172">
        <f t="shared" si="112"/>
        <v>2016</v>
      </c>
      <c r="V2168" s="172">
        <f t="shared" si="113"/>
        <v>12</v>
      </c>
      <c r="W2168" s="162" t="s">
        <v>384</v>
      </c>
      <c r="X2168" t="s">
        <v>892</v>
      </c>
      <c r="Y2168">
        <v>1</v>
      </c>
      <c r="Z2168" s="13"/>
      <c r="AA2168" s="13">
        <f t="shared" si="111"/>
        <v>480770</v>
      </c>
      <c r="AE2168" s="42"/>
      <c r="AL2168" s="94" t="s">
        <v>819</v>
      </c>
      <c r="AM2168" s="86">
        <v>571410</v>
      </c>
    </row>
    <row r="2169" spans="13:39" ht="15.75" hidden="1" thickBot="1">
      <c r="M2169" s="153">
        <v>501370</v>
      </c>
      <c r="N2169" s="227">
        <v>424567</v>
      </c>
      <c r="O2169" s="155" t="s">
        <v>244</v>
      </c>
      <c r="P2169" s="155" t="s">
        <v>245</v>
      </c>
      <c r="Q2169" s="150">
        <v>5</v>
      </c>
      <c r="R2169" s="155" t="s">
        <v>379</v>
      </c>
      <c r="S2169" s="142" t="s">
        <v>801</v>
      </c>
      <c r="T2169" s="158">
        <v>42493</v>
      </c>
      <c r="U2169" s="172">
        <f t="shared" si="112"/>
        <v>2016</v>
      </c>
      <c r="V2169" s="172">
        <f t="shared" si="113"/>
        <v>5</v>
      </c>
      <c r="W2169" s="162" t="s">
        <v>458</v>
      </c>
      <c r="X2169" t="s">
        <v>892</v>
      </c>
      <c r="Y2169">
        <v>1</v>
      </c>
      <c r="Z2169" s="13"/>
      <c r="AA2169" s="13">
        <f t="shared" si="111"/>
        <v>501370</v>
      </c>
      <c r="AE2169" s="42"/>
      <c r="AL2169" s="94" t="s">
        <v>819</v>
      </c>
      <c r="AM2169" s="86">
        <v>571981</v>
      </c>
    </row>
    <row r="2170" spans="13:39" ht="15.75" hidden="1" thickBot="1">
      <c r="M2170" s="153">
        <v>517000</v>
      </c>
      <c r="N2170" s="227">
        <v>647585</v>
      </c>
      <c r="O2170" s="155" t="s">
        <v>244</v>
      </c>
      <c r="P2170" s="155" t="s">
        <v>245</v>
      </c>
      <c r="Q2170" s="150">
        <v>31</v>
      </c>
      <c r="R2170" s="155" t="s">
        <v>379</v>
      </c>
      <c r="S2170" s="142" t="s">
        <v>801</v>
      </c>
      <c r="T2170" s="158">
        <v>41983</v>
      </c>
      <c r="U2170" s="172">
        <f t="shared" si="112"/>
        <v>2014</v>
      </c>
      <c r="V2170" s="172">
        <f t="shared" si="113"/>
        <v>12</v>
      </c>
      <c r="W2170" s="162" t="s">
        <v>609</v>
      </c>
      <c r="X2170" t="s">
        <v>892</v>
      </c>
      <c r="Y2170" s="41">
        <v>2</v>
      </c>
      <c r="Z2170" s="13"/>
      <c r="AA2170" s="13">
        <f t="shared" si="111"/>
        <v>517000</v>
      </c>
      <c r="AE2170" s="42"/>
      <c r="AL2170" s="94" t="s">
        <v>819</v>
      </c>
      <c r="AM2170" s="86">
        <v>572549</v>
      </c>
    </row>
    <row r="2171" spans="13:39" ht="15.75" hidden="1" thickBot="1">
      <c r="M2171" s="153">
        <v>551000</v>
      </c>
      <c r="N2171" s="227">
        <v>423913</v>
      </c>
      <c r="O2171" s="155" t="s">
        <v>244</v>
      </c>
      <c r="P2171" s="155" t="s">
        <v>245</v>
      </c>
      <c r="Q2171" s="147" t="s">
        <v>423</v>
      </c>
      <c r="R2171" s="155" t="s">
        <v>379</v>
      </c>
      <c r="S2171" s="142" t="s">
        <v>801</v>
      </c>
      <c r="T2171" s="158">
        <v>42722</v>
      </c>
      <c r="U2171" s="172">
        <f t="shared" si="112"/>
        <v>2016</v>
      </c>
      <c r="V2171" s="172">
        <f t="shared" si="113"/>
        <v>12</v>
      </c>
      <c r="W2171" s="162" t="s">
        <v>386</v>
      </c>
      <c r="X2171" t="s">
        <v>892</v>
      </c>
      <c r="Y2171">
        <v>1</v>
      </c>
      <c r="Z2171" s="13"/>
      <c r="AA2171" s="13">
        <f t="shared" si="111"/>
        <v>551000</v>
      </c>
      <c r="AE2171" s="42"/>
      <c r="AL2171" s="94" t="s">
        <v>819</v>
      </c>
      <c r="AM2171" s="86">
        <v>572853</v>
      </c>
    </row>
    <row r="2172" spans="13:39" ht="15.75" hidden="1" thickBot="1">
      <c r="M2172" s="153">
        <v>553000</v>
      </c>
      <c r="N2172" s="227">
        <v>324064</v>
      </c>
      <c r="O2172" s="155" t="s">
        <v>244</v>
      </c>
      <c r="P2172" s="155" t="s">
        <v>245</v>
      </c>
      <c r="Q2172" s="150">
        <v>115</v>
      </c>
      <c r="R2172" s="155" t="s">
        <v>379</v>
      </c>
      <c r="S2172" s="142" t="s">
        <v>801</v>
      </c>
      <c r="T2172" s="158">
        <v>42400</v>
      </c>
      <c r="U2172" s="172">
        <f t="shared" si="112"/>
        <v>2016</v>
      </c>
      <c r="V2172" s="172">
        <f t="shared" si="113"/>
        <v>1</v>
      </c>
      <c r="W2172" s="162" t="s">
        <v>461</v>
      </c>
      <c r="X2172" t="s">
        <v>892</v>
      </c>
      <c r="Y2172" s="41">
        <v>1</v>
      </c>
      <c r="Z2172" s="13"/>
      <c r="AA2172" s="13">
        <f t="shared" si="111"/>
        <v>553000</v>
      </c>
      <c r="AE2172" s="42"/>
      <c r="AL2172" s="94" t="s">
        <v>819</v>
      </c>
      <c r="AM2172" s="86">
        <v>573120</v>
      </c>
    </row>
    <row r="2173" spans="13:39" ht="15.75" hidden="1" thickBot="1">
      <c r="M2173" s="153">
        <v>600000</v>
      </c>
      <c r="N2173" s="227">
        <v>430511</v>
      </c>
      <c r="O2173" s="155" t="s">
        <v>244</v>
      </c>
      <c r="P2173" s="155" t="s">
        <v>245</v>
      </c>
      <c r="Q2173" s="147" t="s">
        <v>394</v>
      </c>
      <c r="R2173" s="155" t="s">
        <v>379</v>
      </c>
      <c r="S2173" s="142" t="s">
        <v>801</v>
      </c>
      <c r="T2173" s="158">
        <v>42722</v>
      </c>
      <c r="U2173" s="172">
        <f t="shared" si="112"/>
        <v>2016</v>
      </c>
      <c r="V2173" s="172">
        <f t="shared" si="113"/>
        <v>12</v>
      </c>
      <c r="W2173" s="162" t="s">
        <v>386</v>
      </c>
      <c r="X2173" t="s">
        <v>892</v>
      </c>
      <c r="Y2173">
        <v>1</v>
      </c>
      <c r="Z2173" s="13"/>
      <c r="AA2173" s="13">
        <f t="shared" si="111"/>
        <v>600000</v>
      </c>
      <c r="AE2173" s="42"/>
      <c r="AL2173" s="94" t="s">
        <v>819</v>
      </c>
      <c r="AM2173" s="86">
        <v>573120</v>
      </c>
    </row>
    <row r="2174" spans="13:39" ht="15.75" hidden="1" thickBot="1">
      <c r="M2174" s="153">
        <v>600000</v>
      </c>
      <c r="N2174" s="227">
        <v>521889</v>
      </c>
      <c r="O2174" s="155" t="s">
        <v>244</v>
      </c>
      <c r="P2174" s="155" t="s">
        <v>245</v>
      </c>
      <c r="Q2174" s="150">
        <v>561</v>
      </c>
      <c r="R2174" s="155" t="s">
        <v>379</v>
      </c>
      <c r="S2174" s="142" t="s">
        <v>801</v>
      </c>
      <c r="T2174" s="158">
        <v>42722</v>
      </c>
      <c r="U2174" s="172">
        <f t="shared" si="112"/>
        <v>2016</v>
      </c>
      <c r="V2174" s="172">
        <f t="shared" si="113"/>
        <v>12</v>
      </c>
      <c r="W2174" s="162" t="s">
        <v>386</v>
      </c>
      <c r="X2174" t="s">
        <v>892</v>
      </c>
      <c r="Y2174">
        <v>1</v>
      </c>
      <c r="Z2174" s="13"/>
      <c r="AA2174" s="13">
        <f t="shared" si="111"/>
        <v>600000</v>
      </c>
      <c r="AE2174" s="42"/>
      <c r="AL2174" s="94" t="s">
        <v>819</v>
      </c>
      <c r="AM2174" s="86">
        <v>573120</v>
      </c>
    </row>
    <row r="2175" spans="13:39" ht="15.75" hidden="1" thickBot="1">
      <c r="M2175" s="153">
        <v>629000</v>
      </c>
      <c r="N2175" s="227">
        <v>7743435</v>
      </c>
      <c r="O2175" s="155" t="s">
        <v>248</v>
      </c>
      <c r="P2175" s="155" t="s">
        <v>245</v>
      </c>
      <c r="Q2175" s="150">
        <v>22086</v>
      </c>
      <c r="R2175" s="155" t="s">
        <v>615</v>
      </c>
      <c r="S2175" s="142" t="s">
        <v>801</v>
      </c>
      <c r="T2175" s="158">
        <v>41451</v>
      </c>
      <c r="U2175" s="172">
        <f t="shared" si="112"/>
        <v>2013</v>
      </c>
      <c r="V2175" s="172">
        <f t="shared" si="113"/>
        <v>6</v>
      </c>
      <c r="W2175" s="162" t="s">
        <v>620</v>
      </c>
      <c r="X2175" t="s">
        <v>894</v>
      </c>
      <c r="Y2175" s="41">
        <v>64</v>
      </c>
      <c r="Z2175" s="13">
        <v>5278</v>
      </c>
      <c r="AA2175" s="13">
        <f t="shared" si="111"/>
        <v>629000</v>
      </c>
      <c r="AE2175" s="42"/>
      <c r="AL2175" s="94" t="s">
        <v>819</v>
      </c>
      <c r="AM2175" s="86">
        <v>573120</v>
      </c>
    </row>
    <row r="2176" spans="13:39" ht="15.75" hidden="1" thickBot="1">
      <c r="M2176" s="153">
        <v>650000</v>
      </c>
      <c r="N2176" s="227">
        <v>513323</v>
      </c>
      <c r="O2176" s="155" t="s">
        <v>244</v>
      </c>
      <c r="P2176" s="155" t="s">
        <v>245</v>
      </c>
      <c r="Q2176" s="150">
        <v>397</v>
      </c>
      <c r="R2176" s="155" t="s">
        <v>379</v>
      </c>
      <c r="S2176" s="142" t="s">
        <v>801</v>
      </c>
      <c r="T2176" s="158">
        <v>42722</v>
      </c>
      <c r="U2176" s="172">
        <f t="shared" si="112"/>
        <v>2016</v>
      </c>
      <c r="V2176" s="172">
        <f t="shared" si="113"/>
        <v>12</v>
      </c>
      <c r="W2176" s="162" t="s">
        <v>386</v>
      </c>
      <c r="X2176" t="s">
        <v>892</v>
      </c>
      <c r="Y2176">
        <v>1</v>
      </c>
      <c r="Z2176" s="13"/>
      <c r="AA2176" s="13">
        <f t="shared" si="111"/>
        <v>650000</v>
      </c>
      <c r="AE2176" s="42"/>
      <c r="AL2176" s="94" t="s">
        <v>819</v>
      </c>
      <c r="AM2176" s="86">
        <v>573689</v>
      </c>
    </row>
    <row r="2177" spans="13:39" ht="15.75" hidden="1" thickBot="1">
      <c r="M2177" s="153">
        <v>650000</v>
      </c>
      <c r="N2177" s="227">
        <v>513323</v>
      </c>
      <c r="O2177" s="155" t="s">
        <v>244</v>
      </c>
      <c r="P2177" s="155" t="s">
        <v>245</v>
      </c>
      <c r="Q2177" s="150">
        <v>485</v>
      </c>
      <c r="R2177" s="155" t="s">
        <v>379</v>
      </c>
      <c r="S2177" s="142" t="s">
        <v>801</v>
      </c>
      <c r="T2177" s="158">
        <v>42722</v>
      </c>
      <c r="U2177" s="172">
        <f t="shared" si="112"/>
        <v>2016</v>
      </c>
      <c r="V2177" s="172">
        <f t="shared" si="113"/>
        <v>12</v>
      </c>
      <c r="W2177" s="162" t="s">
        <v>386</v>
      </c>
      <c r="X2177" t="s">
        <v>892</v>
      </c>
      <c r="Y2177">
        <v>1</v>
      </c>
      <c r="Z2177" s="13"/>
      <c r="AA2177" s="13">
        <f t="shared" si="111"/>
        <v>650000</v>
      </c>
      <c r="AE2177" s="42"/>
      <c r="AL2177" s="94" t="s">
        <v>819</v>
      </c>
      <c r="AM2177" s="86">
        <v>573689</v>
      </c>
    </row>
    <row r="2178" spans="13:39" ht="15.75" hidden="1" thickBot="1">
      <c r="M2178" s="153">
        <v>665000</v>
      </c>
      <c r="N2178" s="227">
        <v>518440</v>
      </c>
      <c r="O2178" s="155" t="s">
        <v>244</v>
      </c>
      <c r="P2178" s="155" t="s">
        <v>245</v>
      </c>
      <c r="Q2178" s="150">
        <v>507</v>
      </c>
      <c r="R2178" s="155" t="s">
        <v>379</v>
      </c>
      <c r="S2178" s="142" t="s">
        <v>801</v>
      </c>
      <c r="T2178" s="158">
        <v>42722</v>
      </c>
      <c r="U2178" s="172">
        <f t="shared" si="112"/>
        <v>2016</v>
      </c>
      <c r="V2178" s="172">
        <f t="shared" si="113"/>
        <v>12</v>
      </c>
      <c r="W2178" s="162" t="s">
        <v>386</v>
      </c>
      <c r="X2178" t="s">
        <v>892</v>
      </c>
      <c r="Y2178">
        <v>1</v>
      </c>
      <c r="Z2178" s="13"/>
      <c r="AA2178" s="13">
        <f t="shared" si="111"/>
        <v>665000</v>
      </c>
      <c r="AE2178" s="42"/>
      <c r="AL2178" s="94" t="s">
        <v>819</v>
      </c>
      <c r="AM2178" s="86">
        <v>573689</v>
      </c>
    </row>
    <row r="2179" spans="13:39" ht="15.75" hidden="1" thickBot="1">
      <c r="M2179" s="153">
        <v>707777</v>
      </c>
      <c r="N2179" s="227">
        <v>600338</v>
      </c>
      <c r="O2179" s="155" t="s">
        <v>244</v>
      </c>
      <c r="P2179" s="155" t="s">
        <v>245</v>
      </c>
      <c r="Q2179" s="150">
        <v>55</v>
      </c>
      <c r="R2179" s="155" t="s">
        <v>379</v>
      </c>
      <c r="S2179" s="142" t="s">
        <v>801</v>
      </c>
      <c r="T2179" s="158">
        <v>42400</v>
      </c>
      <c r="U2179" s="172">
        <f t="shared" si="112"/>
        <v>2016</v>
      </c>
      <c r="V2179" s="172">
        <f t="shared" si="113"/>
        <v>1</v>
      </c>
      <c r="W2179" s="162" t="s">
        <v>461</v>
      </c>
      <c r="X2179" t="s">
        <v>892</v>
      </c>
      <c r="Y2179" s="41">
        <v>2</v>
      </c>
      <c r="Z2179" s="13"/>
      <c r="AA2179" s="13">
        <f t="shared" si="111"/>
        <v>707777</v>
      </c>
      <c r="AE2179" s="42"/>
      <c r="AL2179" s="94" t="s">
        <v>819</v>
      </c>
      <c r="AM2179" s="86">
        <v>573689</v>
      </c>
    </row>
    <row r="2180" spans="13:39" ht="15.75" hidden="1" thickBot="1">
      <c r="M2180" s="153">
        <v>717717</v>
      </c>
      <c r="N2180" s="227">
        <v>6199771</v>
      </c>
      <c r="O2180" s="155" t="s">
        <v>248</v>
      </c>
      <c r="P2180" s="155" t="s">
        <v>245</v>
      </c>
      <c r="Q2180" s="150">
        <v>22082</v>
      </c>
      <c r="R2180" s="155" t="s">
        <v>615</v>
      </c>
      <c r="S2180" s="142" t="s">
        <v>801</v>
      </c>
      <c r="T2180" s="158">
        <v>41451</v>
      </c>
      <c r="U2180" s="172">
        <f t="shared" si="112"/>
        <v>2013</v>
      </c>
      <c r="V2180" s="172">
        <f t="shared" si="113"/>
        <v>6</v>
      </c>
      <c r="W2180" s="162" t="s">
        <v>620</v>
      </c>
      <c r="X2180" t="s">
        <v>894</v>
      </c>
      <c r="Y2180" s="41">
        <v>60</v>
      </c>
      <c r="Z2180" s="13">
        <v>3233</v>
      </c>
      <c r="AA2180" s="13">
        <f t="shared" ref="AA2180:AA2243" si="114">IF(M2180&lt;30000,Y2180*100*M2180*(1-$L$1)-$L$2*Y2180,M2180)</f>
        <v>717717</v>
      </c>
      <c r="AE2180" s="42"/>
      <c r="AL2180" s="94" t="s">
        <v>819</v>
      </c>
      <c r="AM2180" s="86">
        <v>574259</v>
      </c>
    </row>
    <row r="2181" spans="13:39" ht="15.75" hidden="1" thickBot="1">
      <c r="M2181" s="153">
        <v>1077777</v>
      </c>
      <c r="N2181" s="227">
        <v>3768368</v>
      </c>
      <c r="O2181" s="155" t="s">
        <v>248</v>
      </c>
      <c r="P2181" s="155" t="s">
        <v>245</v>
      </c>
      <c r="Q2181" s="150">
        <v>18632</v>
      </c>
      <c r="R2181" s="155" t="s">
        <v>610</v>
      </c>
      <c r="S2181" s="142" t="s">
        <v>801</v>
      </c>
      <c r="T2181" s="158">
        <v>41980</v>
      </c>
      <c r="U2181" s="172">
        <f t="shared" si="112"/>
        <v>2014</v>
      </c>
      <c r="V2181" s="172">
        <f t="shared" si="113"/>
        <v>12</v>
      </c>
      <c r="W2181" s="162" t="s">
        <v>611</v>
      </c>
      <c r="X2181" t="s">
        <v>894</v>
      </c>
      <c r="Y2181" s="41">
        <v>12</v>
      </c>
      <c r="Z2181" s="13">
        <v>3733</v>
      </c>
      <c r="AA2181" s="13">
        <f t="shared" si="114"/>
        <v>1077777</v>
      </c>
      <c r="AE2181" s="42"/>
      <c r="AL2181" s="94" t="s">
        <v>819</v>
      </c>
      <c r="AM2181" s="86">
        <v>574259</v>
      </c>
    </row>
    <row r="2182" spans="13:39" ht="15.75" hidden="1" thickBot="1">
      <c r="M2182" s="153">
        <v>1558440</v>
      </c>
      <c r="N2182" s="227">
        <v>4691792</v>
      </c>
      <c r="O2182" s="155" t="s">
        <v>285</v>
      </c>
      <c r="P2182" s="155" t="s">
        <v>245</v>
      </c>
      <c r="Q2182" s="147" t="s">
        <v>617</v>
      </c>
      <c r="R2182" s="155" t="s">
        <v>618</v>
      </c>
      <c r="S2182" s="142" t="s">
        <v>801</v>
      </c>
      <c r="T2182" s="158">
        <v>41458</v>
      </c>
      <c r="U2182" s="172">
        <f t="shared" si="112"/>
        <v>2013</v>
      </c>
      <c r="V2182" s="172">
        <f t="shared" si="113"/>
        <v>7</v>
      </c>
      <c r="W2182" s="162" t="s">
        <v>619</v>
      </c>
      <c r="X2182" t="s">
        <v>894</v>
      </c>
      <c r="Y2182" s="41"/>
      <c r="Z2182" s="13">
        <v>21645</v>
      </c>
      <c r="AA2182" s="13">
        <f t="shared" si="114"/>
        <v>1558440</v>
      </c>
      <c r="AE2182" s="42"/>
      <c r="AL2182" s="94" t="s">
        <v>819</v>
      </c>
      <c r="AM2182" s="86">
        <v>574259</v>
      </c>
    </row>
    <row r="2183" spans="13:39" ht="15.75" hidden="1" thickBot="1">
      <c r="M2183" s="153">
        <v>2007540</v>
      </c>
      <c r="N2183" s="227">
        <v>3620530</v>
      </c>
      <c r="O2183" s="155" t="s">
        <v>248</v>
      </c>
      <c r="P2183" s="155" t="s">
        <v>245</v>
      </c>
      <c r="Q2183" s="150">
        <v>22091</v>
      </c>
      <c r="R2183" s="155" t="s">
        <v>615</v>
      </c>
      <c r="S2183" s="142" t="s">
        <v>801</v>
      </c>
      <c r="T2183" s="158">
        <v>41700</v>
      </c>
      <c r="U2183" s="172">
        <f t="shared" ref="U2183:U2246" si="115">YEAR($T2183)</f>
        <v>2014</v>
      </c>
      <c r="V2183" s="172">
        <f t="shared" ref="V2183:V2246" si="116">MONTH($T2183)</f>
        <v>3</v>
      </c>
      <c r="W2183" s="162" t="s">
        <v>616</v>
      </c>
      <c r="X2183" t="s">
        <v>894</v>
      </c>
      <c r="Y2183" s="41">
        <v>26</v>
      </c>
      <c r="Z2183" s="13">
        <v>2241</v>
      </c>
      <c r="AA2183" s="13">
        <f t="shared" si="114"/>
        <v>2007540</v>
      </c>
      <c r="AE2183" s="42"/>
      <c r="AL2183" s="94" t="s">
        <v>819</v>
      </c>
      <c r="AM2183" s="86">
        <v>574828</v>
      </c>
    </row>
    <row r="2184" spans="13:39" ht="15.75" hidden="1" thickBot="1">
      <c r="M2184" s="153">
        <v>4295486</v>
      </c>
      <c r="N2184" s="227">
        <v>3315099</v>
      </c>
      <c r="O2184" s="155" t="s">
        <v>248</v>
      </c>
      <c r="P2184" s="155" t="s">
        <v>245</v>
      </c>
      <c r="Q2184" s="150">
        <v>22091</v>
      </c>
      <c r="R2184" s="155" t="s">
        <v>615</v>
      </c>
      <c r="S2184" s="142" t="s">
        <v>801</v>
      </c>
      <c r="T2184" s="158">
        <v>41451</v>
      </c>
      <c r="U2184" s="172">
        <f t="shared" si="115"/>
        <v>2013</v>
      </c>
      <c r="V2184" s="172">
        <f t="shared" si="116"/>
        <v>6</v>
      </c>
      <c r="W2184" s="162" t="s">
        <v>620</v>
      </c>
      <c r="X2184" t="s">
        <v>894</v>
      </c>
      <c r="Y2184" s="41">
        <v>26</v>
      </c>
      <c r="Z2184" s="13">
        <v>2241</v>
      </c>
      <c r="AA2184" s="13">
        <f t="shared" si="114"/>
        <v>4295486</v>
      </c>
      <c r="AE2184" s="42"/>
      <c r="AL2184" s="94" t="s">
        <v>819</v>
      </c>
      <c r="AM2184" s="86">
        <v>574828</v>
      </c>
    </row>
    <row r="2185" spans="13:39" ht="15.75" hidden="1" thickBot="1">
      <c r="M2185" s="153">
        <v>4600000</v>
      </c>
      <c r="N2185" s="227">
        <v>3564720</v>
      </c>
      <c r="O2185" s="155" t="s">
        <v>285</v>
      </c>
      <c r="P2185" s="155" t="s">
        <v>245</v>
      </c>
      <c r="Q2185" s="150">
        <v>600</v>
      </c>
      <c r="R2185" s="155" t="s">
        <v>618</v>
      </c>
      <c r="S2185" s="142" t="s">
        <v>801</v>
      </c>
      <c r="T2185" s="158">
        <v>41276</v>
      </c>
      <c r="U2185" s="172">
        <f t="shared" si="115"/>
        <v>2013</v>
      </c>
      <c r="V2185" s="172">
        <f t="shared" si="116"/>
        <v>1</v>
      </c>
      <c r="W2185" s="162" t="s">
        <v>622</v>
      </c>
      <c r="X2185" t="s">
        <v>894</v>
      </c>
      <c r="Y2185" s="41"/>
      <c r="Z2185" s="13">
        <v>16798</v>
      </c>
      <c r="AA2185" s="13">
        <f t="shared" si="114"/>
        <v>4600000</v>
      </c>
      <c r="AE2185" s="42"/>
      <c r="AL2185" s="94" t="s">
        <v>819</v>
      </c>
      <c r="AM2185" s="86">
        <v>575397</v>
      </c>
    </row>
    <row r="2186" spans="13:39" ht="15.75" hidden="1" thickBot="1">
      <c r="M2186" s="153">
        <v>7854018</v>
      </c>
      <c r="N2186" s="227">
        <v>56199789</v>
      </c>
      <c r="O2186" s="155" t="s">
        <v>248</v>
      </c>
      <c r="P2186" s="155" t="s">
        <v>245</v>
      </c>
      <c r="Q2186" s="147" t="s">
        <v>256</v>
      </c>
      <c r="R2186" s="155" t="s">
        <v>379</v>
      </c>
      <c r="S2186" s="142" t="s">
        <v>801</v>
      </c>
      <c r="T2186" s="158">
        <v>42312</v>
      </c>
      <c r="U2186" s="172">
        <f t="shared" si="115"/>
        <v>2015</v>
      </c>
      <c r="V2186" s="172">
        <f t="shared" si="116"/>
        <v>11</v>
      </c>
      <c r="W2186" s="162" t="s">
        <v>462</v>
      </c>
      <c r="X2186" t="s">
        <v>892</v>
      </c>
      <c r="Y2186" s="41">
        <v>328</v>
      </c>
      <c r="Z2186" s="13">
        <v>32642</v>
      </c>
      <c r="AA2186" s="13">
        <f t="shared" si="114"/>
        <v>7854018</v>
      </c>
      <c r="AE2186" s="42"/>
      <c r="AL2186" s="94" t="s">
        <v>819</v>
      </c>
      <c r="AM2186" s="86">
        <v>575397</v>
      </c>
    </row>
    <row r="2187" spans="13:39" ht="15.75" hidden="1" thickBot="1">
      <c r="M2187" s="153">
        <v>10555555</v>
      </c>
      <c r="N2187" s="227">
        <v>31021479</v>
      </c>
      <c r="O2187" s="155" t="s">
        <v>248</v>
      </c>
      <c r="P2187" s="155" t="s">
        <v>245</v>
      </c>
      <c r="Q2187" s="147" t="s">
        <v>258</v>
      </c>
      <c r="R2187" s="155" t="s">
        <v>379</v>
      </c>
      <c r="S2187" s="142" t="s">
        <v>801</v>
      </c>
      <c r="T2187" s="158">
        <v>41954</v>
      </c>
      <c r="U2187" s="172">
        <f t="shared" si="115"/>
        <v>2014</v>
      </c>
      <c r="V2187" s="172">
        <f t="shared" si="116"/>
        <v>11</v>
      </c>
      <c r="W2187" s="162" t="s">
        <v>612</v>
      </c>
      <c r="X2187" t="s">
        <v>892</v>
      </c>
      <c r="Y2187" s="41">
        <v>366</v>
      </c>
      <c r="Z2187" s="13">
        <v>16709</v>
      </c>
      <c r="AA2187" s="13">
        <f t="shared" si="114"/>
        <v>10555555</v>
      </c>
      <c r="AE2187" s="42"/>
      <c r="AL2187" s="94" t="s">
        <v>819</v>
      </c>
      <c r="AM2187" s="86">
        <v>575701</v>
      </c>
    </row>
    <row r="2188" spans="13:39" ht="15.75" hidden="1" thickBot="1">
      <c r="M2188" s="153">
        <v>13166535</v>
      </c>
      <c r="N2188" s="227">
        <v>24140246</v>
      </c>
      <c r="O2188" s="155" t="s">
        <v>248</v>
      </c>
      <c r="P2188" s="155" t="s">
        <v>245</v>
      </c>
      <c r="Q2188" s="147" t="s">
        <v>259</v>
      </c>
      <c r="R2188" s="155" t="s">
        <v>379</v>
      </c>
      <c r="S2188" s="142" t="s">
        <v>801</v>
      </c>
      <c r="T2188" s="158">
        <v>41954</v>
      </c>
      <c r="U2188" s="172">
        <f t="shared" si="115"/>
        <v>2014</v>
      </c>
      <c r="V2188" s="172">
        <f t="shared" si="116"/>
        <v>11</v>
      </c>
      <c r="W2188" s="162" t="s">
        <v>612</v>
      </c>
      <c r="X2188" t="s">
        <v>892</v>
      </c>
      <c r="Y2188" s="41">
        <v>237</v>
      </c>
      <c r="Z2188" s="13">
        <v>18919</v>
      </c>
      <c r="AA2188" s="13">
        <f t="shared" si="114"/>
        <v>13166535</v>
      </c>
      <c r="AE2188" s="42"/>
      <c r="AL2188" s="94" t="s">
        <v>819</v>
      </c>
      <c r="AM2188" s="86">
        <v>575967</v>
      </c>
    </row>
    <row r="2189" spans="13:39" ht="15.75" hidden="1" thickBot="1">
      <c r="M2189" s="153">
        <v>15000000</v>
      </c>
      <c r="N2189" s="227">
        <v>7665753</v>
      </c>
      <c r="O2189" s="155" t="s">
        <v>294</v>
      </c>
      <c r="P2189" s="155" t="s">
        <v>245</v>
      </c>
      <c r="Q2189" s="150">
        <v>300</v>
      </c>
      <c r="R2189" s="155" t="s">
        <v>379</v>
      </c>
      <c r="S2189" s="142" t="s">
        <v>801</v>
      </c>
      <c r="T2189" s="158">
        <v>42493</v>
      </c>
      <c r="U2189" s="172">
        <f t="shared" si="115"/>
        <v>2016</v>
      </c>
      <c r="V2189" s="172">
        <f t="shared" si="116"/>
        <v>5</v>
      </c>
      <c r="W2189" s="162" t="s">
        <v>456</v>
      </c>
      <c r="X2189" t="s">
        <v>892</v>
      </c>
      <c r="Z2189" s="13">
        <v>4269</v>
      </c>
      <c r="AA2189" s="13">
        <f t="shared" si="114"/>
        <v>15000000</v>
      </c>
      <c r="AE2189" s="42"/>
      <c r="AL2189" s="94" t="s">
        <v>819</v>
      </c>
      <c r="AM2189" s="86">
        <v>575967</v>
      </c>
    </row>
    <row r="2190" spans="13:39" ht="15.75" hidden="1" thickBot="1">
      <c r="M2190" s="153">
        <v>18000000</v>
      </c>
      <c r="N2190" s="227">
        <v>34090991</v>
      </c>
      <c r="O2190" s="155" t="s">
        <v>248</v>
      </c>
      <c r="P2190" s="155" t="s">
        <v>245</v>
      </c>
      <c r="Q2190" s="147" t="s">
        <v>254</v>
      </c>
      <c r="R2190" s="155" t="s">
        <v>379</v>
      </c>
      <c r="S2190" s="142" t="s">
        <v>801</v>
      </c>
      <c r="T2190" s="158">
        <v>41954</v>
      </c>
      <c r="U2190" s="172">
        <f t="shared" si="115"/>
        <v>2014</v>
      </c>
      <c r="V2190" s="172">
        <f t="shared" si="116"/>
        <v>11</v>
      </c>
      <c r="W2190" s="162" t="s">
        <v>612</v>
      </c>
      <c r="X2190" t="s">
        <v>892</v>
      </c>
      <c r="Y2190" s="41">
        <v>238</v>
      </c>
      <c r="Z2190" s="13">
        <v>32767</v>
      </c>
      <c r="AA2190" s="13">
        <f t="shared" si="114"/>
        <v>18000000</v>
      </c>
      <c r="AE2190" s="42"/>
      <c r="AL2190" s="94" t="s">
        <v>819</v>
      </c>
      <c r="AM2190" s="86">
        <v>576536</v>
      </c>
    </row>
    <row r="2191" spans="13:39" ht="15.75" hidden="1" thickBot="1">
      <c r="M2191" s="153">
        <v>18516280</v>
      </c>
      <c r="N2191" s="227">
        <v>30010404</v>
      </c>
      <c r="O2191" s="155" t="s">
        <v>248</v>
      </c>
      <c r="P2191" s="155" t="s">
        <v>245</v>
      </c>
      <c r="Q2191" s="147" t="s">
        <v>256</v>
      </c>
      <c r="R2191" s="155" t="s">
        <v>379</v>
      </c>
      <c r="S2191" s="142" t="s">
        <v>801</v>
      </c>
      <c r="T2191" s="158">
        <v>41954</v>
      </c>
      <c r="U2191" s="172">
        <f t="shared" si="115"/>
        <v>2014</v>
      </c>
      <c r="V2191" s="172">
        <f t="shared" si="116"/>
        <v>11</v>
      </c>
      <c r="W2191" s="162" t="s">
        <v>612</v>
      </c>
      <c r="X2191" t="s">
        <v>892</v>
      </c>
      <c r="Y2191" s="41">
        <v>296</v>
      </c>
      <c r="Z2191" s="13">
        <v>22906</v>
      </c>
      <c r="AA2191" s="13">
        <f t="shared" si="114"/>
        <v>18516280</v>
      </c>
      <c r="AE2191" s="42"/>
      <c r="AL2191" s="94" t="s">
        <v>819</v>
      </c>
      <c r="AM2191" s="86">
        <v>576536</v>
      </c>
    </row>
    <row r="2192" spans="13:39" ht="15.75" hidden="1" thickBot="1">
      <c r="M2192" s="153">
        <v>20110910</v>
      </c>
      <c r="N2192" s="227">
        <v>37339250</v>
      </c>
      <c r="O2192" s="155" t="s">
        <v>248</v>
      </c>
      <c r="P2192" s="155" t="s">
        <v>245</v>
      </c>
      <c r="Q2192" s="147" t="s">
        <v>257</v>
      </c>
      <c r="R2192" s="155" t="s">
        <v>379</v>
      </c>
      <c r="S2192" s="142" t="s">
        <v>801</v>
      </c>
      <c r="T2192" s="158">
        <v>41954</v>
      </c>
      <c r="U2192" s="172">
        <f t="shared" si="115"/>
        <v>2014</v>
      </c>
      <c r="V2192" s="172">
        <f t="shared" si="116"/>
        <v>11</v>
      </c>
      <c r="W2192" s="162" t="s">
        <v>612</v>
      </c>
      <c r="X2192" t="s">
        <v>892</v>
      </c>
      <c r="Y2192" s="41">
        <v>362</v>
      </c>
      <c r="Z2192" s="13">
        <v>16709</v>
      </c>
      <c r="AA2192" s="13">
        <f t="shared" si="114"/>
        <v>20110910</v>
      </c>
      <c r="AE2192" s="42"/>
      <c r="AL2192" s="94" t="s">
        <v>819</v>
      </c>
      <c r="AM2192" s="86">
        <v>577106</v>
      </c>
    </row>
    <row r="2193" spans="13:39" ht="15.75" hidden="1" thickBot="1">
      <c r="M2193" s="153">
        <v>20318018</v>
      </c>
      <c r="N2193" s="227">
        <v>69636221</v>
      </c>
      <c r="O2193" s="155" t="s">
        <v>248</v>
      </c>
      <c r="P2193" s="155" t="s">
        <v>245</v>
      </c>
      <c r="Q2193" s="147" t="s">
        <v>254</v>
      </c>
      <c r="R2193" s="155" t="s">
        <v>379</v>
      </c>
      <c r="S2193" s="142" t="s">
        <v>801</v>
      </c>
      <c r="T2193" s="158">
        <v>42312</v>
      </c>
      <c r="U2193" s="172">
        <f t="shared" si="115"/>
        <v>2015</v>
      </c>
      <c r="V2193" s="172">
        <f t="shared" si="116"/>
        <v>11</v>
      </c>
      <c r="W2193" s="162" t="s">
        <v>462</v>
      </c>
      <c r="X2193" t="s">
        <v>892</v>
      </c>
      <c r="Y2193" s="41">
        <v>456</v>
      </c>
      <c r="Z2193" s="13">
        <v>49684</v>
      </c>
      <c r="AA2193" s="13">
        <f t="shared" si="114"/>
        <v>20318018</v>
      </c>
      <c r="AE2193" s="42"/>
      <c r="AL2193" s="94" t="s">
        <v>819</v>
      </c>
      <c r="AM2193" s="86">
        <v>577584</v>
      </c>
    </row>
    <row r="2194" spans="13:39" ht="15.75" hidden="1" thickBot="1">
      <c r="M2194" s="153">
        <v>20518118</v>
      </c>
      <c r="N2194" s="227">
        <v>35049486</v>
      </c>
      <c r="O2194" s="155" t="s">
        <v>248</v>
      </c>
      <c r="P2194" s="155" t="s">
        <v>245</v>
      </c>
      <c r="Q2194" s="147" t="s">
        <v>256</v>
      </c>
      <c r="R2194" s="155" t="s">
        <v>379</v>
      </c>
      <c r="S2194" s="142" t="s">
        <v>801</v>
      </c>
      <c r="T2194" s="158">
        <v>41752</v>
      </c>
      <c r="U2194" s="172">
        <f t="shared" si="115"/>
        <v>2014</v>
      </c>
      <c r="V2194" s="172">
        <f t="shared" si="116"/>
        <v>4</v>
      </c>
      <c r="W2194" s="162" t="s">
        <v>614</v>
      </c>
      <c r="X2194" t="s">
        <v>892</v>
      </c>
      <c r="Y2194" s="41">
        <v>240</v>
      </c>
      <c r="Z2194" s="13">
        <v>33304</v>
      </c>
      <c r="AA2194" s="13">
        <f t="shared" si="114"/>
        <v>20518118</v>
      </c>
      <c r="AE2194" s="42"/>
      <c r="AL2194" s="94" t="s">
        <v>819</v>
      </c>
      <c r="AM2194" s="86">
        <v>578079</v>
      </c>
    </row>
    <row r="2195" spans="13:39" ht="15.75" hidden="1" thickBot="1">
      <c r="M2195" s="153">
        <v>21555555</v>
      </c>
      <c r="N2195" s="227">
        <v>40887572</v>
      </c>
      <c r="O2195" s="155" t="s">
        <v>248</v>
      </c>
      <c r="P2195" s="155" t="s">
        <v>245</v>
      </c>
      <c r="Q2195" s="147" t="s">
        <v>257</v>
      </c>
      <c r="R2195" s="155" t="s">
        <v>379</v>
      </c>
      <c r="S2195" s="142" t="s">
        <v>801</v>
      </c>
      <c r="T2195" s="158">
        <v>42312</v>
      </c>
      <c r="U2195" s="172">
        <f t="shared" si="115"/>
        <v>2015</v>
      </c>
      <c r="V2195" s="172">
        <f t="shared" si="116"/>
        <v>11</v>
      </c>
      <c r="W2195" s="162" t="s">
        <v>462</v>
      </c>
      <c r="X2195" t="s">
        <v>892</v>
      </c>
      <c r="Y2195" s="41">
        <v>285</v>
      </c>
      <c r="Z2195" s="13">
        <v>27795</v>
      </c>
      <c r="AA2195" s="13">
        <f t="shared" si="114"/>
        <v>21555555</v>
      </c>
      <c r="AE2195" s="42"/>
      <c r="AL2195" s="94" t="s">
        <v>819</v>
      </c>
      <c r="AM2195" s="86">
        <v>578246</v>
      </c>
    </row>
    <row r="2196" spans="13:39" ht="15.75" hidden="1" thickBot="1">
      <c r="M2196" s="153">
        <v>26077888</v>
      </c>
      <c r="N2196" s="227">
        <v>65653611</v>
      </c>
      <c r="O2196" s="155" t="s">
        <v>248</v>
      </c>
      <c r="P2196" s="155" t="s">
        <v>245</v>
      </c>
      <c r="Q2196" s="150">
        <v>42153</v>
      </c>
      <c r="R2196" s="155" t="s">
        <v>381</v>
      </c>
      <c r="S2196" s="142" t="s">
        <v>801</v>
      </c>
      <c r="T2196" s="158">
        <v>42757</v>
      </c>
      <c r="U2196" s="172">
        <f t="shared" si="115"/>
        <v>2017</v>
      </c>
      <c r="V2196" s="172">
        <f t="shared" si="116"/>
        <v>1</v>
      </c>
      <c r="W2196" s="162" t="s">
        <v>382</v>
      </c>
      <c r="X2196" t="s">
        <v>894</v>
      </c>
      <c r="Y2196" s="41">
        <v>490</v>
      </c>
      <c r="Z2196" s="13">
        <v>39472</v>
      </c>
      <c r="AA2196" s="13">
        <f t="shared" si="114"/>
        <v>26077888</v>
      </c>
      <c r="AE2196" s="42"/>
      <c r="AL2196" s="94" t="s">
        <v>819</v>
      </c>
      <c r="AM2196" s="86">
        <v>578246</v>
      </c>
    </row>
    <row r="2197" spans="13:39" ht="15.75" hidden="1" thickBot="1">
      <c r="M2197" s="153">
        <v>26441018</v>
      </c>
      <c r="N2197" s="227">
        <v>52036274</v>
      </c>
      <c r="O2197" s="155" t="s">
        <v>248</v>
      </c>
      <c r="P2197" s="155" t="s">
        <v>245</v>
      </c>
      <c r="Q2197" s="147" t="s">
        <v>254</v>
      </c>
      <c r="R2197" s="155" t="s">
        <v>379</v>
      </c>
      <c r="S2197" s="142" t="s">
        <v>801</v>
      </c>
      <c r="T2197" s="158">
        <v>41752</v>
      </c>
      <c r="U2197" s="172">
        <f t="shared" si="115"/>
        <v>2014</v>
      </c>
      <c r="V2197" s="172">
        <f t="shared" si="116"/>
        <v>4</v>
      </c>
      <c r="W2197" s="162" t="s">
        <v>614</v>
      </c>
      <c r="X2197" t="s">
        <v>892</v>
      </c>
      <c r="Y2197" s="41">
        <v>330</v>
      </c>
      <c r="Z2197" s="13">
        <v>48330</v>
      </c>
      <c r="AA2197" s="13">
        <f t="shared" si="114"/>
        <v>26441018</v>
      </c>
      <c r="AE2197" s="42"/>
      <c r="AL2197" s="94" t="s">
        <v>819</v>
      </c>
      <c r="AM2197" s="86">
        <v>578246</v>
      </c>
    </row>
    <row r="2198" spans="13:39" ht="15.75" hidden="1" thickBot="1">
      <c r="M2198" s="153">
        <v>72410018</v>
      </c>
      <c r="N2198" s="227">
        <v>51301540</v>
      </c>
      <c r="O2198" s="155" t="s">
        <v>248</v>
      </c>
      <c r="P2198" s="155" t="s">
        <v>245</v>
      </c>
      <c r="Q2198" s="147" t="s">
        <v>258</v>
      </c>
      <c r="R2198" s="155" t="s">
        <v>379</v>
      </c>
      <c r="S2198" s="142" t="s">
        <v>801</v>
      </c>
      <c r="T2198" s="158">
        <v>42312</v>
      </c>
      <c r="U2198" s="172">
        <f t="shared" si="115"/>
        <v>2015</v>
      </c>
      <c r="V2198" s="172">
        <f t="shared" si="116"/>
        <v>11</v>
      </c>
      <c r="W2198" s="162" t="s">
        <v>462</v>
      </c>
      <c r="X2198" t="s">
        <v>892</v>
      </c>
      <c r="Y2198" s="41">
        <v>402</v>
      </c>
      <c r="Z2198" s="13">
        <v>61027</v>
      </c>
      <c r="AA2198" s="13">
        <f t="shared" si="114"/>
        <v>72410018</v>
      </c>
      <c r="AE2198" s="42"/>
      <c r="AL2198" s="94" t="s">
        <v>819</v>
      </c>
      <c r="AM2198" s="86">
        <v>578246</v>
      </c>
    </row>
    <row r="2199" spans="13:39" ht="15.75" hidden="1" thickBot="1">
      <c r="M2199" s="149">
        <v>255555</v>
      </c>
      <c r="N2199" s="228">
        <v>379454</v>
      </c>
      <c r="O2199" s="146" t="s">
        <v>244</v>
      </c>
      <c r="P2199" s="146" t="s">
        <v>245</v>
      </c>
      <c r="Q2199" s="147" t="s">
        <v>922</v>
      </c>
      <c r="R2199" s="146" t="s">
        <v>379</v>
      </c>
      <c r="S2199" s="160" t="s">
        <v>801</v>
      </c>
      <c r="T2199" s="156">
        <v>42871</v>
      </c>
      <c r="U2199" s="172">
        <f t="shared" si="115"/>
        <v>2017</v>
      </c>
      <c r="V2199" s="172">
        <f t="shared" si="116"/>
        <v>5</v>
      </c>
      <c r="W2199" s="148" t="s">
        <v>805</v>
      </c>
      <c r="AA2199" s="13">
        <f t="shared" si="114"/>
        <v>255555</v>
      </c>
      <c r="AE2199" s="42"/>
      <c r="AL2199" s="94" t="s">
        <v>819</v>
      </c>
      <c r="AM2199" s="86">
        <v>578246</v>
      </c>
    </row>
    <row r="2200" spans="13:39" ht="15.75" hidden="1" thickBot="1">
      <c r="M2200" s="149">
        <v>301111</v>
      </c>
      <c r="N2200" s="228">
        <v>379454</v>
      </c>
      <c r="O2200" s="146" t="s">
        <v>244</v>
      </c>
      <c r="P2200" s="146" t="s">
        <v>245</v>
      </c>
      <c r="Q2200" s="147" t="s">
        <v>923</v>
      </c>
      <c r="R2200" s="146" t="s">
        <v>379</v>
      </c>
      <c r="S2200" s="160" t="s">
        <v>801</v>
      </c>
      <c r="T2200" s="156">
        <v>42871</v>
      </c>
      <c r="U2200" s="172">
        <f t="shared" si="115"/>
        <v>2017</v>
      </c>
      <c r="V2200" s="172">
        <f t="shared" si="116"/>
        <v>5</v>
      </c>
      <c r="W2200" s="148" t="s">
        <v>805</v>
      </c>
      <c r="AA2200" s="13">
        <f t="shared" si="114"/>
        <v>301111</v>
      </c>
      <c r="AE2200" s="42"/>
      <c r="AL2200" s="94" t="s">
        <v>819</v>
      </c>
      <c r="AM2200" s="86">
        <v>578246</v>
      </c>
    </row>
    <row r="2201" spans="13:39" ht="15.75" hidden="1" thickBot="1">
      <c r="M2201" s="149">
        <v>318000</v>
      </c>
      <c r="N2201" s="228">
        <v>379454</v>
      </c>
      <c r="O2201" s="146" t="s">
        <v>244</v>
      </c>
      <c r="P2201" s="146" t="s">
        <v>245</v>
      </c>
      <c r="Q2201" s="147" t="s">
        <v>924</v>
      </c>
      <c r="R2201" s="146" t="s">
        <v>379</v>
      </c>
      <c r="S2201" s="160" t="s">
        <v>801</v>
      </c>
      <c r="T2201" s="156">
        <v>42871</v>
      </c>
      <c r="U2201" s="172">
        <f t="shared" si="115"/>
        <v>2017</v>
      </c>
      <c r="V2201" s="172">
        <f t="shared" si="116"/>
        <v>5</v>
      </c>
      <c r="W2201" s="148" t="s">
        <v>805</v>
      </c>
      <c r="AA2201" s="13">
        <f t="shared" si="114"/>
        <v>318000</v>
      </c>
      <c r="AE2201" s="42"/>
      <c r="AL2201" s="94" t="s">
        <v>819</v>
      </c>
      <c r="AM2201" s="86">
        <v>578246</v>
      </c>
    </row>
    <row r="2202" spans="13:39" ht="15.75" hidden="1" thickBot="1">
      <c r="M2202" s="149">
        <v>290000</v>
      </c>
      <c r="N2202" s="228">
        <v>379454</v>
      </c>
      <c r="O2202" s="146" t="s">
        <v>244</v>
      </c>
      <c r="P2202" s="146" t="s">
        <v>245</v>
      </c>
      <c r="Q2202" s="147" t="s">
        <v>925</v>
      </c>
      <c r="R2202" s="146" t="s">
        <v>379</v>
      </c>
      <c r="S2202" s="160" t="s">
        <v>801</v>
      </c>
      <c r="T2202" s="156">
        <v>42871</v>
      </c>
      <c r="U2202" s="172">
        <f t="shared" si="115"/>
        <v>2017</v>
      </c>
      <c r="V2202" s="172">
        <f t="shared" si="116"/>
        <v>5</v>
      </c>
      <c r="W2202" s="148" t="s">
        <v>805</v>
      </c>
      <c r="AA2202" s="13">
        <f t="shared" si="114"/>
        <v>290000</v>
      </c>
      <c r="AE2202" s="42"/>
      <c r="AL2202" s="94" t="s">
        <v>819</v>
      </c>
      <c r="AM2202" s="86">
        <v>578246</v>
      </c>
    </row>
    <row r="2203" spans="13:39" ht="15.75" hidden="1" thickBot="1">
      <c r="M2203" s="149">
        <v>242800</v>
      </c>
      <c r="N2203" s="228">
        <v>379454</v>
      </c>
      <c r="O2203" s="146" t="s">
        <v>244</v>
      </c>
      <c r="P2203" s="146" t="s">
        <v>245</v>
      </c>
      <c r="Q2203" s="147" t="s">
        <v>926</v>
      </c>
      <c r="R2203" s="146" t="s">
        <v>379</v>
      </c>
      <c r="S2203" s="160" t="s">
        <v>801</v>
      </c>
      <c r="T2203" s="156">
        <v>42871</v>
      </c>
      <c r="U2203" s="172">
        <f t="shared" si="115"/>
        <v>2017</v>
      </c>
      <c r="V2203" s="172">
        <f t="shared" si="116"/>
        <v>5</v>
      </c>
      <c r="W2203" s="148" t="s">
        <v>805</v>
      </c>
      <c r="AA2203" s="13">
        <f t="shared" si="114"/>
        <v>242800</v>
      </c>
      <c r="AE2203" s="42"/>
      <c r="AL2203" s="94" t="s">
        <v>819</v>
      </c>
      <c r="AM2203" s="86">
        <v>578548</v>
      </c>
    </row>
    <row r="2204" spans="13:39" ht="15.75" hidden="1" thickBot="1">
      <c r="M2204" s="149">
        <v>294338</v>
      </c>
      <c r="N2204" s="228">
        <v>379454</v>
      </c>
      <c r="O2204" s="146" t="s">
        <v>244</v>
      </c>
      <c r="P2204" s="146" t="s">
        <v>245</v>
      </c>
      <c r="Q2204" s="147" t="s">
        <v>927</v>
      </c>
      <c r="R2204" s="146" t="s">
        <v>379</v>
      </c>
      <c r="S2204" s="160" t="s">
        <v>801</v>
      </c>
      <c r="T2204" s="156">
        <v>42871</v>
      </c>
      <c r="U2204" s="172">
        <f t="shared" si="115"/>
        <v>2017</v>
      </c>
      <c r="V2204" s="172">
        <f t="shared" si="116"/>
        <v>5</v>
      </c>
      <c r="W2204" s="148" t="s">
        <v>805</v>
      </c>
      <c r="AA2204" s="13">
        <f t="shared" si="114"/>
        <v>294338</v>
      </c>
      <c r="AE2204" s="42"/>
      <c r="AL2204" s="94" t="s">
        <v>819</v>
      </c>
      <c r="AM2204" s="86">
        <v>579385</v>
      </c>
    </row>
    <row r="2205" spans="13:39" ht="15.75" hidden="1" thickBot="1">
      <c r="M2205" s="149">
        <v>351000</v>
      </c>
      <c r="N2205" s="228">
        <v>400594</v>
      </c>
      <c r="O2205" s="146" t="s">
        <v>244</v>
      </c>
      <c r="P2205" s="146" t="s">
        <v>245</v>
      </c>
      <c r="Q2205" s="147" t="s">
        <v>928</v>
      </c>
      <c r="R2205" s="146" t="s">
        <v>379</v>
      </c>
      <c r="S2205" s="160" t="s">
        <v>801</v>
      </c>
      <c r="T2205" s="156">
        <v>42871</v>
      </c>
      <c r="U2205" s="172">
        <f t="shared" si="115"/>
        <v>2017</v>
      </c>
      <c r="V2205" s="172">
        <f t="shared" si="116"/>
        <v>5</v>
      </c>
      <c r="W2205" s="148" t="s">
        <v>805</v>
      </c>
      <c r="AA2205" s="13">
        <f t="shared" si="114"/>
        <v>351000</v>
      </c>
      <c r="AE2205" s="42"/>
      <c r="AL2205" s="94" t="s">
        <v>819</v>
      </c>
      <c r="AM2205" s="86">
        <v>579385</v>
      </c>
    </row>
    <row r="2206" spans="13:39" ht="15.75" hidden="1" thickBot="1">
      <c r="M2206" s="149">
        <v>333000</v>
      </c>
      <c r="N2206" s="228">
        <v>400594</v>
      </c>
      <c r="O2206" s="146" t="s">
        <v>244</v>
      </c>
      <c r="P2206" s="146" t="s">
        <v>245</v>
      </c>
      <c r="Q2206" s="147" t="s">
        <v>929</v>
      </c>
      <c r="R2206" s="146" t="s">
        <v>379</v>
      </c>
      <c r="S2206" s="160" t="s">
        <v>801</v>
      </c>
      <c r="T2206" s="156">
        <v>42871</v>
      </c>
      <c r="U2206" s="172">
        <f t="shared" si="115"/>
        <v>2017</v>
      </c>
      <c r="V2206" s="172">
        <f t="shared" si="116"/>
        <v>5</v>
      </c>
      <c r="W2206" s="148" t="s">
        <v>805</v>
      </c>
      <c r="AA2206" s="13">
        <f t="shared" si="114"/>
        <v>333000</v>
      </c>
      <c r="AE2206" s="42"/>
      <c r="AL2206" s="94" t="s">
        <v>819</v>
      </c>
      <c r="AM2206" s="86">
        <v>579954</v>
      </c>
    </row>
    <row r="2207" spans="13:39" ht="15.75" hidden="1" thickBot="1">
      <c r="M2207" s="149">
        <v>284000</v>
      </c>
      <c r="N2207" s="228">
        <v>400594</v>
      </c>
      <c r="O2207" s="146" t="s">
        <v>244</v>
      </c>
      <c r="P2207" s="146" t="s">
        <v>245</v>
      </c>
      <c r="Q2207" s="147" t="s">
        <v>930</v>
      </c>
      <c r="R2207" s="146" t="s">
        <v>379</v>
      </c>
      <c r="S2207" s="160" t="s">
        <v>801</v>
      </c>
      <c r="T2207" s="156">
        <v>42871</v>
      </c>
      <c r="U2207" s="172">
        <f t="shared" si="115"/>
        <v>2017</v>
      </c>
      <c r="V2207" s="172">
        <f t="shared" si="116"/>
        <v>5</v>
      </c>
      <c r="W2207" s="148" t="s">
        <v>805</v>
      </c>
      <c r="AA2207" s="13">
        <f t="shared" si="114"/>
        <v>284000</v>
      </c>
      <c r="AE2207" s="42"/>
      <c r="AL2207" s="94" t="s">
        <v>819</v>
      </c>
      <c r="AM2207" s="86">
        <v>579954</v>
      </c>
    </row>
    <row r="2208" spans="13:39" ht="15.75" hidden="1" thickBot="1">
      <c r="M2208" s="149">
        <v>302555</v>
      </c>
      <c r="N2208" s="228">
        <v>400594</v>
      </c>
      <c r="O2208" s="146" t="s">
        <v>244</v>
      </c>
      <c r="P2208" s="146" t="s">
        <v>245</v>
      </c>
      <c r="Q2208" s="147" t="s">
        <v>931</v>
      </c>
      <c r="R2208" s="146" t="s">
        <v>379</v>
      </c>
      <c r="S2208" s="160" t="s">
        <v>801</v>
      </c>
      <c r="T2208" s="156">
        <v>42871</v>
      </c>
      <c r="U2208" s="172">
        <f t="shared" si="115"/>
        <v>2017</v>
      </c>
      <c r="V2208" s="172">
        <f t="shared" si="116"/>
        <v>5</v>
      </c>
      <c r="W2208" s="148" t="s">
        <v>805</v>
      </c>
      <c r="AA2208" s="13">
        <f t="shared" si="114"/>
        <v>302555</v>
      </c>
      <c r="AE2208" s="42"/>
      <c r="AL2208" s="94" t="s">
        <v>819</v>
      </c>
      <c r="AM2208" s="86">
        <v>579954</v>
      </c>
    </row>
    <row r="2209" spans="13:39" ht="15.75" hidden="1" thickBot="1">
      <c r="M2209" s="149">
        <v>254648</v>
      </c>
      <c r="N2209" s="228">
        <v>400568</v>
      </c>
      <c r="O2209" s="146" t="s">
        <v>244</v>
      </c>
      <c r="P2209" s="146" t="s">
        <v>245</v>
      </c>
      <c r="Q2209" s="147" t="s">
        <v>932</v>
      </c>
      <c r="R2209" s="146" t="s">
        <v>379</v>
      </c>
      <c r="S2209" s="160" t="s">
        <v>801</v>
      </c>
      <c r="T2209" s="156">
        <v>42871</v>
      </c>
      <c r="U2209" s="172">
        <f t="shared" si="115"/>
        <v>2017</v>
      </c>
      <c r="V2209" s="172">
        <f t="shared" si="116"/>
        <v>5</v>
      </c>
      <c r="W2209" s="148" t="s">
        <v>805</v>
      </c>
      <c r="AA2209" s="13">
        <f t="shared" si="114"/>
        <v>254648</v>
      </c>
      <c r="AE2209" s="42"/>
      <c r="AL2209" s="94" t="s">
        <v>819</v>
      </c>
      <c r="AM2209" s="86">
        <v>579954</v>
      </c>
    </row>
    <row r="2210" spans="13:39" ht="15.75" hidden="1" thickBot="1">
      <c r="M2210" s="149">
        <v>360000</v>
      </c>
      <c r="N2210" s="228">
        <v>596919</v>
      </c>
      <c r="O2210" s="146" t="s">
        <v>244</v>
      </c>
      <c r="P2210" s="146" t="s">
        <v>245</v>
      </c>
      <c r="Q2210" s="150">
        <v>106</v>
      </c>
      <c r="R2210" s="146" t="s">
        <v>379</v>
      </c>
      <c r="S2210" s="160" t="s">
        <v>801</v>
      </c>
      <c r="T2210" s="156">
        <v>42871</v>
      </c>
      <c r="U2210" s="172">
        <f t="shared" si="115"/>
        <v>2017</v>
      </c>
      <c r="V2210" s="172">
        <f t="shared" si="116"/>
        <v>5</v>
      </c>
      <c r="W2210" s="148" t="s">
        <v>805</v>
      </c>
      <c r="AA2210" s="13">
        <f t="shared" si="114"/>
        <v>360000</v>
      </c>
      <c r="AE2210" s="42"/>
      <c r="AL2210" s="94" t="s">
        <v>819</v>
      </c>
      <c r="AM2210" s="86">
        <v>579954</v>
      </c>
    </row>
    <row r="2211" spans="13:39" ht="15.75" hidden="1" thickBot="1">
      <c r="M2211" s="149">
        <v>367899</v>
      </c>
      <c r="N2211" s="228">
        <v>527723</v>
      </c>
      <c r="O2211" s="146" t="s">
        <v>244</v>
      </c>
      <c r="P2211" s="146" t="s">
        <v>245</v>
      </c>
      <c r="Q2211" s="150">
        <v>127</v>
      </c>
      <c r="R2211" s="146" t="s">
        <v>379</v>
      </c>
      <c r="S2211" s="160" t="s">
        <v>801</v>
      </c>
      <c r="T2211" s="156">
        <v>42871</v>
      </c>
      <c r="U2211" s="172">
        <f t="shared" si="115"/>
        <v>2017</v>
      </c>
      <c r="V2211" s="172">
        <f t="shared" si="116"/>
        <v>5</v>
      </c>
      <c r="W2211" s="148" t="s">
        <v>805</v>
      </c>
      <c r="AA2211" s="13">
        <f t="shared" si="114"/>
        <v>367899</v>
      </c>
      <c r="AE2211" s="42"/>
      <c r="AL2211" s="94" t="s">
        <v>819</v>
      </c>
      <c r="AM2211" s="86">
        <v>580523</v>
      </c>
    </row>
    <row r="2212" spans="13:39" ht="15.75" hidden="1" thickBot="1">
      <c r="M2212" s="149">
        <v>357428</v>
      </c>
      <c r="N2212" s="228">
        <v>644263</v>
      </c>
      <c r="O2212" s="146" t="s">
        <v>244</v>
      </c>
      <c r="P2212" s="146" t="s">
        <v>245</v>
      </c>
      <c r="Q2212" s="150">
        <v>154</v>
      </c>
      <c r="R2212" s="146" t="s">
        <v>379</v>
      </c>
      <c r="S2212" s="160" t="s">
        <v>801</v>
      </c>
      <c r="T2212" s="156">
        <v>42871</v>
      </c>
      <c r="U2212" s="172">
        <f t="shared" si="115"/>
        <v>2017</v>
      </c>
      <c r="V2212" s="172">
        <f t="shared" si="116"/>
        <v>5</v>
      </c>
      <c r="W2212" s="148" t="s">
        <v>805</v>
      </c>
      <c r="AA2212" s="13">
        <f t="shared" si="114"/>
        <v>357428</v>
      </c>
      <c r="AE2212" s="42"/>
      <c r="AL2212" s="94" t="s">
        <v>819</v>
      </c>
      <c r="AM2212" s="86">
        <v>581662</v>
      </c>
    </row>
    <row r="2213" spans="13:39" ht="15.75" hidden="1" thickBot="1">
      <c r="M2213" s="149">
        <v>1855555</v>
      </c>
      <c r="N2213" s="228">
        <v>1445649</v>
      </c>
      <c r="O2213" s="146" t="s">
        <v>248</v>
      </c>
      <c r="P2213" s="146" t="s">
        <v>245</v>
      </c>
      <c r="Q2213" s="150">
        <v>41424</v>
      </c>
      <c r="R2213" s="146" t="s">
        <v>961</v>
      </c>
      <c r="S2213" s="160" t="s">
        <v>978</v>
      </c>
      <c r="T2213" s="165">
        <v>42848</v>
      </c>
      <c r="U2213" s="172">
        <f t="shared" si="115"/>
        <v>2017</v>
      </c>
      <c r="V2213" s="172">
        <f t="shared" si="116"/>
        <v>4</v>
      </c>
      <c r="W2213" s="148" t="s">
        <v>962</v>
      </c>
      <c r="X2213" t="e">
        <f>MATCH($W2213,$E$30:$E$125,0)</f>
        <v>#N/A</v>
      </c>
      <c r="AA2213" s="13">
        <f t="shared" si="114"/>
        <v>1855555</v>
      </c>
      <c r="AE2213" s="42"/>
      <c r="AL2213" s="94" t="s">
        <v>819</v>
      </c>
      <c r="AM2213" s="86">
        <v>581662</v>
      </c>
    </row>
    <row r="2214" spans="13:39" ht="15.75" hidden="1" thickBot="1">
      <c r="M2214" s="149">
        <v>3785555</v>
      </c>
      <c r="N2214" s="228">
        <v>2445843</v>
      </c>
      <c r="O2214" s="146" t="s">
        <v>248</v>
      </c>
      <c r="P2214" s="146" t="s">
        <v>245</v>
      </c>
      <c r="Q2214" s="150">
        <v>41451</v>
      </c>
      <c r="R2214" s="146" t="s">
        <v>961</v>
      </c>
      <c r="S2214" s="160" t="s">
        <v>978</v>
      </c>
      <c r="T2214" s="165">
        <v>42848</v>
      </c>
      <c r="U2214" s="172">
        <f t="shared" si="115"/>
        <v>2017</v>
      </c>
      <c r="V2214" s="172">
        <f t="shared" si="116"/>
        <v>4</v>
      </c>
      <c r="W2214" s="148" t="s">
        <v>962</v>
      </c>
      <c r="X2214" t="e">
        <f>MATCH($W2214,$E$30:$E$125,0)</f>
        <v>#N/A</v>
      </c>
      <c r="AA2214" s="13">
        <f t="shared" si="114"/>
        <v>3785555</v>
      </c>
      <c r="AE2214" s="42"/>
      <c r="AL2214" s="94" t="s">
        <v>819</v>
      </c>
      <c r="AM2214" s="86">
        <v>581662</v>
      </c>
    </row>
    <row r="2215" spans="13:39" ht="15.75" hidden="1" thickBot="1">
      <c r="M2215" s="149">
        <v>355556</v>
      </c>
      <c r="N2215" s="228">
        <v>3086306</v>
      </c>
      <c r="O2215" s="146" t="s">
        <v>248</v>
      </c>
      <c r="P2215" s="146" t="s">
        <v>245</v>
      </c>
      <c r="Q2215" s="150">
        <v>45087</v>
      </c>
      <c r="R2215" s="146" t="s">
        <v>961</v>
      </c>
      <c r="S2215" s="160" t="s">
        <v>978</v>
      </c>
      <c r="T2215" s="165">
        <v>42848</v>
      </c>
      <c r="U2215" s="172">
        <f t="shared" si="115"/>
        <v>2017</v>
      </c>
      <c r="V2215" s="172">
        <f t="shared" si="116"/>
        <v>4</v>
      </c>
      <c r="W2215" s="148" t="s">
        <v>962</v>
      </c>
      <c r="X2215" t="e">
        <f>MATCH($W2215,$E$30:$E$125,0)</f>
        <v>#N/A</v>
      </c>
      <c r="AA2215" s="13">
        <f t="shared" si="114"/>
        <v>355556</v>
      </c>
      <c r="AE2215" s="42"/>
      <c r="AL2215" s="94" t="s">
        <v>819</v>
      </c>
      <c r="AM2215" s="86">
        <v>586219</v>
      </c>
    </row>
    <row r="2216" spans="13:39" ht="15.75" hidden="1" thickBot="1">
      <c r="M2216" s="149">
        <v>1665045</v>
      </c>
      <c r="N2216" s="228">
        <v>2740976</v>
      </c>
      <c r="O2216" s="146" t="s">
        <v>248</v>
      </c>
      <c r="P2216" s="146" t="s">
        <v>245</v>
      </c>
      <c r="Q2216" s="150">
        <v>45088</v>
      </c>
      <c r="R2216" s="146" t="s">
        <v>961</v>
      </c>
      <c r="S2216" s="160" t="s">
        <v>978</v>
      </c>
      <c r="T2216" s="165">
        <v>42848</v>
      </c>
      <c r="U2216" s="172">
        <f t="shared" si="115"/>
        <v>2017</v>
      </c>
      <c r="V2216" s="172">
        <f t="shared" si="116"/>
        <v>4</v>
      </c>
      <c r="W2216" s="148" t="s">
        <v>962</v>
      </c>
      <c r="X2216" t="e">
        <f>MATCH($W2216,$E$30:$E$125,0)</f>
        <v>#N/A</v>
      </c>
      <c r="AA2216" s="13">
        <f t="shared" si="114"/>
        <v>1665045</v>
      </c>
      <c r="AE2216" s="42"/>
      <c r="AL2216" s="94" t="s">
        <v>819</v>
      </c>
      <c r="AM2216" s="86">
        <v>586219</v>
      </c>
    </row>
    <row r="2217" spans="13:39" ht="15.75" hidden="1" thickBot="1">
      <c r="M2217" s="153">
        <v>8600</v>
      </c>
      <c r="N2217" s="229">
        <v>8677382</v>
      </c>
      <c r="O2217" s="155" t="s">
        <v>248</v>
      </c>
      <c r="P2217" s="155" t="s">
        <v>251</v>
      </c>
      <c r="Q2217" s="150">
        <v>31</v>
      </c>
      <c r="R2217" s="155" t="s">
        <v>623</v>
      </c>
      <c r="S2217" s="142" t="s">
        <v>17</v>
      </c>
      <c r="T2217" s="158">
        <v>42800</v>
      </c>
      <c r="U2217" s="172">
        <f t="shared" si="115"/>
        <v>2017</v>
      </c>
      <c r="V2217" s="172">
        <f t="shared" si="116"/>
        <v>3</v>
      </c>
      <c r="W2217" s="163" t="s">
        <v>624</v>
      </c>
      <c r="X2217" t="s">
        <v>892</v>
      </c>
      <c r="Y2217" s="41">
        <v>60</v>
      </c>
      <c r="Z2217" s="13">
        <f>N2217/1625</f>
        <v>5339.9273846153847</v>
      </c>
      <c r="AA2217" s="13">
        <f t="shared" si="114"/>
        <v>8700000</v>
      </c>
      <c r="AE2217" s="42"/>
      <c r="AL2217" s="94" t="s">
        <v>819</v>
      </c>
      <c r="AM2217" s="86">
        <v>586219</v>
      </c>
    </row>
    <row r="2218" spans="13:39" ht="15.75" hidden="1" thickBot="1">
      <c r="M2218" s="153">
        <v>8685</v>
      </c>
      <c r="N2218" s="227">
        <v>12806559</v>
      </c>
      <c r="O2218" s="155" t="s">
        <v>248</v>
      </c>
      <c r="P2218" s="155" t="s">
        <v>251</v>
      </c>
      <c r="Q2218" s="150">
        <v>301</v>
      </c>
      <c r="R2218" s="155" t="s">
        <v>623</v>
      </c>
      <c r="S2218" s="142" t="s">
        <v>17</v>
      </c>
      <c r="T2218" s="158">
        <v>42352</v>
      </c>
      <c r="U2218" s="172">
        <f t="shared" si="115"/>
        <v>2015</v>
      </c>
      <c r="V2218" s="172">
        <f t="shared" si="116"/>
        <v>12</v>
      </c>
      <c r="W2218" s="162" t="s">
        <v>631</v>
      </c>
      <c r="X2218" t="s">
        <v>892</v>
      </c>
      <c r="Y2218">
        <v>84</v>
      </c>
      <c r="Z2218" s="13">
        <v>8947</v>
      </c>
      <c r="AA2218" s="13">
        <f t="shared" si="114"/>
        <v>12715500</v>
      </c>
      <c r="AE2218" s="42"/>
      <c r="AL2218" s="94" t="s">
        <v>819</v>
      </c>
      <c r="AM2218" s="86">
        <v>586788</v>
      </c>
    </row>
    <row r="2219" spans="13:39" ht="15.75" hidden="1" thickBot="1">
      <c r="M2219" s="153">
        <v>8765</v>
      </c>
      <c r="N2219" s="227">
        <v>15152322</v>
      </c>
      <c r="O2219" s="155" t="s">
        <v>248</v>
      </c>
      <c r="P2219" s="155" t="s">
        <v>251</v>
      </c>
      <c r="Q2219" s="150">
        <v>307</v>
      </c>
      <c r="R2219" s="155" t="s">
        <v>623</v>
      </c>
      <c r="S2219" s="142" t="s">
        <v>17</v>
      </c>
      <c r="T2219" s="158">
        <v>42352</v>
      </c>
      <c r="U2219" s="172">
        <f t="shared" si="115"/>
        <v>2015</v>
      </c>
      <c r="V2219" s="172">
        <f t="shared" si="116"/>
        <v>12</v>
      </c>
      <c r="W2219" s="162" t="s">
        <v>631</v>
      </c>
      <c r="X2219" t="s">
        <v>892</v>
      </c>
      <c r="Y2219">
        <v>108</v>
      </c>
      <c r="Z2219" s="13">
        <v>9198</v>
      </c>
      <c r="AA2219" s="13">
        <f t="shared" si="114"/>
        <v>16996500</v>
      </c>
      <c r="AE2219" s="42"/>
      <c r="AL2219" s="94" t="s">
        <v>819</v>
      </c>
      <c r="AM2219" s="86">
        <v>586788</v>
      </c>
    </row>
    <row r="2220" spans="13:39" ht="15.75" hidden="1" thickBot="1">
      <c r="M2220" s="153">
        <v>8777</v>
      </c>
      <c r="N2220" s="227">
        <v>17798202</v>
      </c>
      <c r="O2220" s="155" t="s">
        <v>248</v>
      </c>
      <c r="P2220" s="155" t="s">
        <v>251</v>
      </c>
      <c r="Q2220" s="150">
        <v>300</v>
      </c>
      <c r="R2220" s="155" t="s">
        <v>623</v>
      </c>
      <c r="S2220" s="142" t="s">
        <v>17</v>
      </c>
      <c r="T2220" s="158">
        <v>42352</v>
      </c>
      <c r="U2220" s="172">
        <f t="shared" si="115"/>
        <v>2015</v>
      </c>
      <c r="V2220" s="172">
        <f t="shared" si="116"/>
        <v>12</v>
      </c>
      <c r="W2220" s="162" t="s">
        <v>631</v>
      </c>
      <c r="X2220" t="s">
        <v>892</v>
      </c>
      <c r="Y2220">
        <v>120</v>
      </c>
      <c r="Z2220" s="13">
        <v>12161</v>
      </c>
      <c r="AA2220" s="13">
        <f t="shared" si="114"/>
        <v>18993000</v>
      </c>
      <c r="AE2220" s="42"/>
      <c r="AL2220" s="94" t="s">
        <v>819</v>
      </c>
      <c r="AM2220" s="86">
        <v>587358</v>
      </c>
    </row>
    <row r="2221" spans="13:39" ht="15.75" hidden="1" thickBot="1">
      <c r="M2221" s="153">
        <v>8890</v>
      </c>
      <c r="N2221" s="227">
        <v>15426226</v>
      </c>
      <c r="O2221" s="155" t="s">
        <v>248</v>
      </c>
      <c r="P2221" s="155" t="s">
        <v>251</v>
      </c>
      <c r="Q2221" s="150">
        <v>306</v>
      </c>
      <c r="R2221" s="155" t="s">
        <v>623</v>
      </c>
      <c r="S2221" s="142" t="s">
        <v>17</v>
      </c>
      <c r="T2221" s="158">
        <v>42352</v>
      </c>
      <c r="U2221" s="172">
        <f t="shared" si="115"/>
        <v>2015</v>
      </c>
      <c r="V2221" s="172">
        <f t="shared" si="116"/>
        <v>12</v>
      </c>
      <c r="W2221" s="162" t="s">
        <v>631</v>
      </c>
      <c r="X2221" t="s">
        <v>892</v>
      </c>
      <c r="Y2221">
        <v>108</v>
      </c>
      <c r="Z2221" s="13">
        <v>9665</v>
      </c>
      <c r="AA2221" s="13">
        <f t="shared" si="114"/>
        <v>18009000</v>
      </c>
      <c r="AE2221" s="42"/>
      <c r="AL2221" s="94" t="s">
        <v>819</v>
      </c>
      <c r="AM2221" s="86">
        <v>587358</v>
      </c>
    </row>
    <row r="2222" spans="13:39" ht="15.75" hidden="1" thickBot="1">
      <c r="M2222" s="153">
        <v>8939</v>
      </c>
      <c r="N2222" s="229">
        <v>8324970</v>
      </c>
      <c r="O2222" s="155" t="s">
        <v>248</v>
      </c>
      <c r="P2222" s="155" t="s">
        <v>251</v>
      </c>
      <c r="Q2222" s="150">
        <v>30</v>
      </c>
      <c r="R2222" s="155" t="s">
        <v>623</v>
      </c>
      <c r="S2222" s="142" t="s">
        <v>17</v>
      </c>
      <c r="T2222" s="158">
        <v>42800</v>
      </c>
      <c r="U2222" s="172">
        <f t="shared" si="115"/>
        <v>2017</v>
      </c>
      <c r="V2222" s="172">
        <f t="shared" si="116"/>
        <v>3</v>
      </c>
      <c r="W2222" s="163" t="s">
        <v>624</v>
      </c>
      <c r="X2222" t="s">
        <v>892</v>
      </c>
      <c r="Y2222" s="41">
        <v>60</v>
      </c>
      <c r="Z2222" s="13">
        <f>N2222/1731</f>
        <v>4809.3414211438476</v>
      </c>
      <c r="AA2222" s="13">
        <f t="shared" si="114"/>
        <v>10225500</v>
      </c>
      <c r="AE2222" s="42"/>
      <c r="AL2222" s="94" t="s">
        <v>819</v>
      </c>
      <c r="AM2222" s="86">
        <v>591544</v>
      </c>
    </row>
    <row r="2223" spans="13:39" ht="15.75" hidden="1" thickBot="1">
      <c r="M2223" s="153">
        <v>9018</v>
      </c>
      <c r="N2223" s="229">
        <v>9545634</v>
      </c>
      <c r="O2223" s="155" t="s">
        <v>248</v>
      </c>
      <c r="P2223" s="155" t="s">
        <v>251</v>
      </c>
      <c r="Q2223" s="150">
        <v>32</v>
      </c>
      <c r="R2223" s="155" t="s">
        <v>623</v>
      </c>
      <c r="S2223" s="142" t="s">
        <v>17</v>
      </c>
      <c r="T2223" s="158">
        <v>42800</v>
      </c>
      <c r="U2223" s="172">
        <f t="shared" si="115"/>
        <v>2017</v>
      </c>
      <c r="V2223" s="172">
        <f t="shared" si="116"/>
        <v>3</v>
      </c>
      <c r="W2223" s="163" t="s">
        <v>624</v>
      </c>
      <c r="X2223" t="s">
        <v>892</v>
      </c>
      <c r="Y2223" s="41">
        <v>56</v>
      </c>
      <c r="Z2223" s="13">
        <f>N2223/1223</f>
        <v>7805.0973017170891</v>
      </c>
      <c r="AA2223" s="13">
        <f t="shared" si="114"/>
        <v>9875600</v>
      </c>
      <c r="AE2223" s="42"/>
      <c r="AL2223" s="94" t="s">
        <v>819</v>
      </c>
      <c r="AM2223" s="86">
        <v>591544</v>
      </c>
    </row>
    <row r="2224" spans="13:39" ht="15.75" hidden="1" thickBot="1">
      <c r="M2224" s="153">
        <v>9149</v>
      </c>
      <c r="N2224" s="227">
        <v>6952484</v>
      </c>
      <c r="O2224" s="155" t="s">
        <v>248</v>
      </c>
      <c r="P2224" s="155" t="s">
        <v>251</v>
      </c>
      <c r="Q2224" s="150">
        <v>302</v>
      </c>
      <c r="R2224" s="155" t="s">
        <v>623</v>
      </c>
      <c r="S2224" s="142" t="s">
        <v>17</v>
      </c>
      <c r="T2224" s="158">
        <v>42352</v>
      </c>
      <c r="U2224" s="172">
        <f t="shared" si="115"/>
        <v>2015</v>
      </c>
      <c r="V2224" s="172">
        <f t="shared" si="116"/>
        <v>12</v>
      </c>
      <c r="W2224" s="162" t="s">
        <v>631</v>
      </c>
      <c r="X2224" t="s">
        <v>892</v>
      </c>
      <c r="Y2224">
        <v>48</v>
      </c>
      <c r="Z2224" s="13">
        <v>4463</v>
      </c>
      <c r="AA2224" s="13">
        <f t="shared" si="114"/>
        <v>8936400</v>
      </c>
      <c r="AE2224" s="42"/>
      <c r="AL2224" s="94" t="s">
        <v>819</v>
      </c>
      <c r="AM2224" s="86">
        <v>591544</v>
      </c>
    </row>
    <row r="2225" spans="13:39" ht="15.75" hidden="1" thickBot="1">
      <c r="M2225" s="153">
        <v>9445</v>
      </c>
      <c r="N2225" s="227">
        <v>9907053</v>
      </c>
      <c r="O2225" s="155" t="s">
        <v>248</v>
      </c>
      <c r="P2225" s="155" t="s">
        <v>251</v>
      </c>
      <c r="Q2225" s="150">
        <v>407</v>
      </c>
      <c r="R2225" s="155" t="s">
        <v>623</v>
      </c>
      <c r="S2225" s="142" t="s">
        <v>17</v>
      </c>
      <c r="T2225" s="158">
        <v>42352</v>
      </c>
      <c r="U2225" s="172">
        <f t="shared" si="115"/>
        <v>2015</v>
      </c>
      <c r="V2225" s="172">
        <f t="shared" si="116"/>
        <v>12</v>
      </c>
      <c r="W2225" s="162" t="s">
        <v>631</v>
      </c>
      <c r="X2225" t="s">
        <v>892</v>
      </c>
      <c r="Y2225">
        <v>90</v>
      </c>
      <c r="Z2225" s="13">
        <v>2420</v>
      </c>
      <c r="AA2225" s="13">
        <f t="shared" si="114"/>
        <v>18753750</v>
      </c>
      <c r="AE2225" s="42"/>
      <c r="AL2225" s="88" t="s">
        <v>819</v>
      </c>
      <c r="AM2225" s="86">
        <v>593596</v>
      </c>
    </row>
    <row r="2226" spans="13:39" ht="15.75" hidden="1" thickBot="1">
      <c r="M2226" s="153">
        <v>9494</v>
      </c>
      <c r="N2226" s="227">
        <v>10384013</v>
      </c>
      <c r="O2226" s="155" t="s">
        <v>248</v>
      </c>
      <c r="P2226" s="155" t="s">
        <v>251</v>
      </c>
      <c r="Q2226" s="150">
        <v>406</v>
      </c>
      <c r="R2226" s="155" t="s">
        <v>623</v>
      </c>
      <c r="S2226" s="142" t="s">
        <v>17</v>
      </c>
      <c r="T2226" s="158">
        <v>42373</v>
      </c>
      <c r="U2226" s="172">
        <f t="shared" si="115"/>
        <v>2016</v>
      </c>
      <c r="V2226" s="172">
        <f t="shared" si="116"/>
        <v>1</v>
      </c>
      <c r="W2226" s="162" t="s">
        <v>630</v>
      </c>
      <c r="X2226" t="s">
        <v>892</v>
      </c>
      <c r="Y2226">
        <v>90</v>
      </c>
      <c r="Z2226" s="13">
        <v>3262</v>
      </c>
      <c r="AA2226" s="13">
        <f t="shared" si="114"/>
        <v>19084500</v>
      </c>
      <c r="AE2226" s="42"/>
      <c r="AL2226" s="94" t="s">
        <v>819</v>
      </c>
      <c r="AM2226" s="86">
        <v>594192</v>
      </c>
    </row>
    <row r="2227" spans="13:39" ht="15.75" hidden="1" thickBot="1">
      <c r="M2227" s="153">
        <v>9550</v>
      </c>
      <c r="N2227" s="227">
        <v>9763686</v>
      </c>
      <c r="O2227" s="155" t="s">
        <v>248</v>
      </c>
      <c r="P2227" s="155" t="s">
        <v>251</v>
      </c>
      <c r="Q2227" s="150">
        <v>404</v>
      </c>
      <c r="R2227" s="155" t="s">
        <v>623</v>
      </c>
      <c r="S2227" s="142" t="s">
        <v>17</v>
      </c>
      <c r="T2227" s="158">
        <v>42352</v>
      </c>
      <c r="U2227" s="172">
        <f t="shared" si="115"/>
        <v>2015</v>
      </c>
      <c r="V2227" s="172">
        <f t="shared" si="116"/>
        <v>12</v>
      </c>
      <c r="W2227" s="162" t="s">
        <v>631</v>
      </c>
      <c r="X2227" t="s">
        <v>892</v>
      </c>
      <c r="Y2227">
        <v>90</v>
      </c>
      <c r="Z2227" s="13">
        <v>2145</v>
      </c>
      <c r="AA2227" s="13">
        <f t="shared" si="114"/>
        <v>19462500</v>
      </c>
      <c r="AE2227" s="42"/>
      <c r="AL2227" s="94" t="s">
        <v>819</v>
      </c>
      <c r="AM2227" s="86">
        <v>594761</v>
      </c>
    </row>
    <row r="2228" spans="13:39" ht="15.75" hidden="1" thickBot="1">
      <c r="M2228" s="153">
        <v>9555</v>
      </c>
      <c r="N2228" s="227">
        <v>3474848</v>
      </c>
      <c r="O2228" s="155" t="s">
        <v>248</v>
      </c>
      <c r="P2228" s="155" t="s">
        <v>251</v>
      </c>
      <c r="Q2228" s="150">
        <v>303</v>
      </c>
      <c r="R2228" s="155" t="s">
        <v>623</v>
      </c>
      <c r="S2228" s="142" t="s">
        <v>17</v>
      </c>
      <c r="T2228" s="158">
        <v>42352</v>
      </c>
      <c r="U2228" s="172">
        <f t="shared" si="115"/>
        <v>2015</v>
      </c>
      <c r="V2228" s="172">
        <f t="shared" si="116"/>
        <v>12</v>
      </c>
      <c r="W2228" s="162" t="s">
        <v>631</v>
      </c>
      <c r="X2228" t="s">
        <v>892</v>
      </c>
      <c r="Y2228">
        <v>24</v>
      </c>
      <c r="Z2228" s="13">
        <v>2237</v>
      </c>
      <c r="AA2228" s="13">
        <f t="shared" si="114"/>
        <v>5199000</v>
      </c>
      <c r="AE2228" s="42"/>
      <c r="AL2228" s="94" t="s">
        <v>819</v>
      </c>
      <c r="AM2228" s="86">
        <v>594761</v>
      </c>
    </row>
    <row r="2229" spans="13:39" ht="15.75" hidden="1" thickBot="1">
      <c r="M2229" s="153">
        <v>9597</v>
      </c>
      <c r="N2229" s="227">
        <v>9733005</v>
      </c>
      <c r="O2229" s="155" t="s">
        <v>248</v>
      </c>
      <c r="P2229" s="155" t="s">
        <v>251</v>
      </c>
      <c r="Q2229" s="150">
        <v>403</v>
      </c>
      <c r="R2229" s="155" t="s">
        <v>623</v>
      </c>
      <c r="S2229" s="142" t="s">
        <v>17</v>
      </c>
      <c r="T2229" s="158">
        <v>42352</v>
      </c>
      <c r="U2229" s="172">
        <f t="shared" si="115"/>
        <v>2015</v>
      </c>
      <c r="V2229" s="172">
        <f t="shared" si="116"/>
        <v>12</v>
      </c>
      <c r="W2229" s="162" t="s">
        <v>631</v>
      </c>
      <c r="X2229" t="s">
        <v>892</v>
      </c>
      <c r="Y2229">
        <v>90</v>
      </c>
      <c r="Z2229" s="13">
        <v>2095</v>
      </c>
      <c r="AA2229" s="13">
        <f t="shared" si="114"/>
        <v>19779750</v>
      </c>
      <c r="AE2229" s="42"/>
      <c r="AL2229" s="94" t="s">
        <v>819</v>
      </c>
      <c r="AM2229" s="86">
        <v>595331</v>
      </c>
    </row>
    <row r="2230" spans="13:39" ht="15.75" hidden="1" thickBot="1">
      <c r="M2230" s="153">
        <v>9598</v>
      </c>
      <c r="N2230" s="227">
        <v>9779306</v>
      </c>
      <c r="O2230" s="155" t="s">
        <v>248</v>
      </c>
      <c r="P2230" s="155" t="s">
        <v>251</v>
      </c>
      <c r="Q2230" s="150">
        <v>402</v>
      </c>
      <c r="R2230" s="155" t="s">
        <v>623</v>
      </c>
      <c r="S2230" s="142" t="s">
        <v>17</v>
      </c>
      <c r="T2230" s="158">
        <v>42352</v>
      </c>
      <c r="U2230" s="172">
        <f t="shared" si="115"/>
        <v>2015</v>
      </c>
      <c r="V2230" s="172">
        <f t="shared" si="116"/>
        <v>12</v>
      </c>
      <c r="W2230" s="162" t="s">
        <v>631</v>
      </c>
      <c r="X2230" t="s">
        <v>892</v>
      </c>
      <c r="Y2230">
        <v>90</v>
      </c>
      <c r="Z2230" s="13">
        <v>2173</v>
      </c>
      <c r="AA2230" s="13">
        <f t="shared" si="114"/>
        <v>19786500</v>
      </c>
      <c r="AE2230" s="42"/>
      <c r="AL2230" s="94" t="s">
        <v>819</v>
      </c>
      <c r="AM2230" s="86">
        <v>595331</v>
      </c>
    </row>
    <row r="2231" spans="13:39" ht="15.75" hidden="1" thickBot="1">
      <c r="M2231" s="153">
        <v>9607</v>
      </c>
      <c r="N2231" s="227">
        <v>9779306</v>
      </c>
      <c r="O2231" s="155" t="s">
        <v>248</v>
      </c>
      <c r="P2231" s="155" t="s">
        <v>251</v>
      </c>
      <c r="Q2231" s="150">
        <v>401</v>
      </c>
      <c r="R2231" s="155" t="s">
        <v>623</v>
      </c>
      <c r="S2231" s="142" t="s">
        <v>17</v>
      </c>
      <c r="T2231" s="158">
        <v>42352</v>
      </c>
      <c r="U2231" s="172">
        <f t="shared" si="115"/>
        <v>2015</v>
      </c>
      <c r="V2231" s="172">
        <f t="shared" si="116"/>
        <v>12</v>
      </c>
      <c r="W2231" s="162" t="s">
        <v>631</v>
      </c>
      <c r="X2231" t="s">
        <v>892</v>
      </c>
      <c r="Y2231">
        <v>90</v>
      </c>
      <c r="Z2231" s="13">
        <v>2173</v>
      </c>
      <c r="AA2231" s="13">
        <f t="shared" si="114"/>
        <v>19847250</v>
      </c>
      <c r="AE2231" s="42"/>
      <c r="AL2231" s="94" t="s">
        <v>819</v>
      </c>
      <c r="AM2231" s="86">
        <v>595331</v>
      </c>
    </row>
    <row r="2232" spans="13:39" ht="30.75" hidden="1" thickBot="1">
      <c r="M2232" s="153">
        <v>10988</v>
      </c>
      <c r="N2232" s="227">
        <v>19728306</v>
      </c>
      <c r="O2232" s="155" t="s">
        <v>248</v>
      </c>
      <c r="P2232" s="155" t="s">
        <v>251</v>
      </c>
      <c r="Q2232" s="147" t="s">
        <v>256</v>
      </c>
      <c r="R2232" s="155" t="s">
        <v>627</v>
      </c>
      <c r="S2232" s="142" t="s">
        <v>17</v>
      </c>
      <c r="T2232" s="158">
        <v>42597</v>
      </c>
      <c r="U2232" s="172">
        <f t="shared" si="115"/>
        <v>2016</v>
      </c>
      <c r="V2232" s="172">
        <f t="shared" si="116"/>
        <v>8</v>
      </c>
      <c r="W2232" s="162" t="s">
        <v>628</v>
      </c>
      <c r="X2232" t="s">
        <v>892</v>
      </c>
      <c r="Y2232">
        <v>140</v>
      </c>
      <c r="Z2232" s="13">
        <v>6627</v>
      </c>
      <c r="AA2232" s="13">
        <f t="shared" si="114"/>
        <v>45374000</v>
      </c>
      <c r="AE2232" s="42"/>
      <c r="AL2232" s="94" t="s">
        <v>819</v>
      </c>
      <c r="AM2232" s="86">
        <v>595900</v>
      </c>
    </row>
    <row r="2233" spans="13:39" ht="30.75" hidden="1" thickBot="1">
      <c r="M2233" s="153">
        <v>11288</v>
      </c>
      <c r="N2233" s="227">
        <v>24521773</v>
      </c>
      <c r="O2233" s="155" t="s">
        <v>248</v>
      </c>
      <c r="P2233" s="155" t="s">
        <v>251</v>
      </c>
      <c r="Q2233" s="147" t="s">
        <v>254</v>
      </c>
      <c r="R2233" s="155" t="s">
        <v>627</v>
      </c>
      <c r="S2233" s="142" t="s">
        <v>17</v>
      </c>
      <c r="T2233" s="158">
        <v>42597</v>
      </c>
      <c r="U2233" s="172">
        <f t="shared" si="115"/>
        <v>2016</v>
      </c>
      <c r="V2233" s="172">
        <f t="shared" si="116"/>
        <v>8</v>
      </c>
      <c r="W2233" s="162" t="s">
        <v>628</v>
      </c>
      <c r="X2233" t="s">
        <v>892</v>
      </c>
      <c r="Y2233">
        <v>174</v>
      </c>
      <c r="Z2233" s="13">
        <v>6378</v>
      </c>
      <c r="AA2233" s="13">
        <f t="shared" si="114"/>
        <v>60308400</v>
      </c>
      <c r="AE2233" s="42"/>
      <c r="AL2233" s="94" t="s">
        <v>819</v>
      </c>
      <c r="AM2233" s="86">
        <v>595900</v>
      </c>
    </row>
    <row r="2234" spans="13:39" ht="15.75" hidden="1" thickBot="1">
      <c r="M2234" s="153">
        <v>610000</v>
      </c>
      <c r="N2234" s="227">
        <v>286487</v>
      </c>
      <c r="O2234" s="155" t="s">
        <v>244</v>
      </c>
      <c r="P2234" s="155" t="s">
        <v>245</v>
      </c>
      <c r="Q2234" s="147" t="s">
        <v>668</v>
      </c>
      <c r="R2234" s="155" t="s">
        <v>636</v>
      </c>
      <c r="S2234" s="142" t="s">
        <v>17</v>
      </c>
      <c r="T2234" s="158">
        <v>41812</v>
      </c>
      <c r="U2234" s="172">
        <f t="shared" si="115"/>
        <v>2014</v>
      </c>
      <c r="V2234" s="172">
        <f t="shared" si="116"/>
        <v>6</v>
      </c>
      <c r="W2234" s="162" t="s">
        <v>666</v>
      </c>
      <c r="X2234" t="s">
        <v>894</v>
      </c>
      <c r="Y2234">
        <v>1</v>
      </c>
      <c r="Z2234" s="13"/>
      <c r="AA2234" s="13">
        <f t="shared" si="114"/>
        <v>610000</v>
      </c>
      <c r="AE2234" s="42"/>
      <c r="AL2234" s="94" t="s">
        <v>819</v>
      </c>
      <c r="AM2234" s="86">
        <v>595900</v>
      </c>
    </row>
    <row r="2235" spans="13:39" ht="15.75" hidden="1" thickBot="1">
      <c r="M2235" s="153">
        <v>641864</v>
      </c>
      <c r="N2235" s="227">
        <v>259600</v>
      </c>
      <c r="O2235" s="155" t="s">
        <v>244</v>
      </c>
      <c r="P2235" s="155" t="s">
        <v>245</v>
      </c>
      <c r="Q2235" s="147" t="s">
        <v>667</v>
      </c>
      <c r="R2235" s="155" t="s">
        <v>636</v>
      </c>
      <c r="S2235" s="142" t="s">
        <v>17</v>
      </c>
      <c r="T2235" s="158">
        <v>41812</v>
      </c>
      <c r="U2235" s="172">
        <f t="shared" si="115"/>
        <v>2014</v>
      </c>
      <c r="V2235" s="172">
        <f t="shared" si="116"/>
        <v>6</v>
      </c>
      <c r="W2235" s="162" t="s">
        <v>666</v>
      </c>
      <c r="X2235" t="s">
        <v>894</v>
      </c>
      <c r="Y2235">
        <v>1</v>
      </c>
      <c r="Z2235" s="13"/>
      <c r="AA2235" s="13">
        <f t="shared" si="114"/>
        <v>641864</v>
      </c>
      <c r="AE2235" s="42"/>
      <c r="AL2235" s="94" t="s">
        <v>819</v>
      </c>
      <c r="AM2235" s="86">
        <v>595900</v>
      </c>
    </row>
    <row r="2236" spans="13:39" ht="15.75" hidden="1" thickBot="1">
      <c r="M2236" s="153">
        <v>877777</v>
      </c>
      <c r="N2236" s="227">
        <v>480261</v>
      </c>
      <c r="O2236" s="155" t="s">
        <v>244</v>
      </c>
      <c r="P2236" s="155" t="s">
        <v>245</v>
      </c>
      <c r="Q2236" s="147" t="s">
        <v>665</v>
      </c>
      <c r="R2236" s="155" t="s">
        <v>636</v>
      </c>
      <c r="S2236" s="142" t="s">
        <v>17</v>
      </c>
      <c r="T2236" s="158">
        <v>41812</v>
      </c>
      <c r="U2236" s="172">
        <f t="shared" si="115"/>
        <v>2014</v>
      </c>
      <c r="V2236" s="172">
        <f t="shared" si="116"/>
        <v>6</v>
      </c>
      <c r="W2236" s="162" t="s">
        <v>666</v>
      </c>
      <c r="X2236" t="s">
        <v>894</v>
      </c>
      <c r="Y2236">
        <v>2</v>
      </c>
      <c r="Z2236" s="13"/>
      <c r="AA2236" s="13">
        <f t="shared" si="114"/>
        <v>877777</v>
      </c>
      <c r="AE2236" s="42"/>
      <c r="AL2236" s="94" t="s">
        <v>819</v>
      </c>
      <c r="AM2236" s="86">
        <v>596669</v>
      </c>
    </row>
    <row r="2237" spans="13:39" ht="15.75" hidden="1" thickBot="1">
      <c r="M2237" s="153">
        <v>1118500</v>
      </c>
      <c r="N2237" s="227">
        <v>481170</v>
      </c>
      <c r="O2237" s="155" t="s">
        <v>244</v>
      </c>
      <c r="P2237" s="155" t="s">
        <v>245</v>
      </c>
      <c r="Q2237" s="147" t="s">
        <v>635</v>
      </c>
      <c r="R2237" s="155" t="s">
        <v>636</v>
      </c>
      <c r="S2237" s="142" t="s">
        <v>17</v>
      </c>
      <c r="T2237" s="158">
        <v>42057</v>
      </c>
      <c r="U2237" s="172">
        <f t="shared" si="115"/>
        <v>2015</v>
      </c>
      <c r="V2237" s="172">
        <f t="shared" si="116"/>
        <v>2</v>
      </c>
      <c r="W2237" s="162" t="s">
        <v>637</v>
      </c>
      <c r="X2237" t="s">
        <v>894</v>
      </c>
      <c r="Y2237">
        <v>2</v>
      </c>
      <c r="Z2237" s="13">
        <v>518</v>
      </c>
      <c r="AA2237" s="13">
        <f t="shared" si="114"/>
        <v>1118500</v>
      </c>
      <c r="AE2237" s="42"/>
      <c r="AL2237" s="88" t="s">
        <v>819</v>
      </c>
      <c r="AM2237" s="86">
        <v>596765</v>
      </c>
    </row>
    <row r="2238" spans="13:39" ht="15.75" hidden="1" thickBot="1">
      <c r="M2238" s="153">
        <v>1796000</v>
      </c>
      <c r="N2238" s="227">
        <v>441351</v>
      </c>
      <c r="O2238" s="155" t="s">
        <v>244</v>
      </c>
      <c r="P2238" s="155" t="s">
        <v>245</v>
      </c>
      <c r="Q2238" s="147" t="s">
        <v>661</v>
      </c>
      <c r="R2238" s="155" t="s">
        <v>639</v>
      </c>
      <c r="S2238" s="142" t="s">
        <v>17</v>
      </c>
      <c r="T2238" s="158">
        <v>41953</v>
      </c>
      <c r="U2238" s="172">
        <f t="shared" si="115"/>
        <v>2014</v>
      </c>
      <c r="V2238" s="172">
        <f t="shared" si="116"/>
        <v>11</v>
      </c>
      <c r="W2238" s="162" t="s">
        <v>640</v>
      </c>
      <c r="X2238" t="s">
        <v>894</v>
      </c>
      <c r="Y2238">
        <v>2</v>
      </c>
      <c r="Z2238" s="13"/>
      <c r="AA2238" s="13">
        <f t="shared" si="114"/>
        <v>1796000</v>
      </c>
      <c r="AE2238" s="42"/>
      <c r="AL2238" s="94" t="s">
        <v>819</v>
      </c>
      <c r="AM2238" s="86">
        <v>599318</v>
      </c>
    </row>
    <row r="2239" spans="13:39" ht="15.75" hidden="1" thickBot="1">
      <c r="M2239" s="153">
        <v>1855559</v>
      </c>
      <c r="N2239" s="227">
        <v>441351</v>
      </c>
      <c r="O2239" s="155" t="s">
        <v>244</v>
      </c>
      <c r="P2239" s="155" t="s">
        <v>245</v>
      </c>
      <c r="Q2239" s="147" t="s">
        <v>662</v>
      </c>
      <c r="R2239" s="155" t="s">
        <v>639</v>
      </c>
      <c r="S2239" s="142" t="s">
        <v>17</v>
      </c>
      <c r="T2239" s="158">
        <v>41953</v>
      </c>
      <c r="U2239" s="172">
        <f t="shared" si="115"/>
        <v>2014</v>
      </c>
      <c r="V2239" s="172">
        <f t="shared" si="116"/>
        <v>11</v>
      </c>
      <c r="W2239" s="162" t="s">
        <v>640</v>
      </c>
      <c r="X2239" t="s">
        <v>894</v>
      </c>
      <c r="Y2239">
        <v>2</v>
      </c>
      <c r="Z2239" s="13"/>
      <c r="AA2239" s="13">
        <f t="shared" si="114"/>
        <v>1855559</v>
      </c>
      <c r="AE2239" s="42"/>
      <c r="AL2239" s="94" t="s">
        <v>819</v>
      </c>
      <c r="AM2239" s="86">
        <v>599517</v>
      </c>
    </row>
    <row r="2240" spans="13:39" ht="15.75" hidden="1" thickBot="1">
      <c r="M2240" s="153">
        <v>1884247</v>
      </c>
      <c r="N2240" s="227">
        <v>441351</v>
      </c>
      <c r="O2240" s="155" t="s">
        <v>244</v>
      </c>
      <c r="P2240" s="155" t="s">
        <v>245</v>
      </c>
      <c r="Q2240" s="147" t="s">
        <v>644</v>
      </c>
      <c r="R2240" s="155" t="s">
        <v>639</v>
      </c>
      <c r="S2240" s="142" t="s">
        <v>17</v>
      </c>
      <c r="T2240" s="158">
        <v>41953</v>
      </c>
      <c r="U2240" s="172">
        <f t="shared" si="115"/>
        <v>2014</v>
      </c>
      <c r="V2240" s="172">
        <f t="shared" si="116"/>
        <v>11</v>
      </c>
      <c r="W2240" s="162" t="s">
        <v>640</v>
      </c>
      <c r="X2240" t="s">
        <v>894</v>
      </c>
      <c r="Y2240">
        <v>2</v>
      </c>
      <c r="Z2240" s="13"/>
      <c r="AA2240" s="13">
        <f t="shared" si="114"/>
        <v>1884247</v>
      </c>
      <c r="AE2240" s="42"/>
      <c r="AL2240" s="94" t="s">
        <v>819</v>
      </c>
      <c r="AM2240" s="86">
        <v>599517</v>
      </c>
    </row>
    <row r="2241" spans="13:39" ht="15.75" hidden="1" thickBot="1">
      <c r="M2241" s="153">
        <v>1932000</v>
      </c>
      <c r="N2241" s="227">
        <v>441350</v>
      </c>
      <c r="O2241" s="155" t="s">
        <v>244</v>
      </c>
      <c r="P2241" s="155" t="s">
        <v>245</v>
      </c>
      <c r="Q2241" s="147" t="s">
        <v>648</v>
      </c>
      <c r="R2241" s="155" t="s">
        <v>639</v>
      </c>
      <c r="S2241" s="142" t="s">
        <v>17</v>
      </c>
      <c r="T2241" s="158">
        <v>41953</v>
      </c>
      <c r="U2241" s="172">
        <f t="shared" si="115"/>
        <v>2014</v>
      </c>
      <c r="V2241" s="172">
        <f t="shared" si="116"/>
        <v>11</v>
      </c>
      <c r="W2241" s="162" t="s">
        <v>640</v>
      </c>
      <c r="X2241" t="s">
        <v>894</v>
      </c>
      <c r="Y2241">
        <v>2</v>
      </c>
      <c r="Z2241" s="13"/>
      <c r="AA2241" s="13">
        <f t="shared" si="114"/>
        <v>1932000</v>
      </c>
      <c r="AE2241" s="42"/>
      <c r="AL2241" s="94" t="s">
        <v>819</v>
      </c>
      <c r="AM2241" s="86">
        <v>599887</v>
      </c>
    </row>
    <row r="2242" spans="13:39" ht="15.75" hidden="1" thickBot="1">
      <c r="M2242" s="153">
        <v>2082366</v>
      </c>
      <c r="N2242" s="227">
        <v>441351</v>
      </c>
      <c r="O2242" s="155" t="s">
        <v>244</v>
      </c>
      <c r="P2242" s="155" t="s">
        <v>245</v>
      </c>
      <c r="Q2242" s="147" t="s">
        <v>643</v>
      </c>
      <c r="R2242" s="155" t="s">
        <v>639</v>
      </c>
      <c r="S2242" s="142" t="s">
        <v>17</v>
      </c>
      <c r="T2242" s="158">
        <v>41953</v>
      </c>
      <c r="U2242" s="172">
        <f t="shared" si="115"/>
        <v>2014</v>
      </c>
      <c r="V2242" s="172">
        <f t="shared" si="116"/>
        <v>11</v>
      </c>
      <c r="W2242" s="162" t="s">
        <v>640</v>
      </c>
      <c r="X2242" t="s">
        <v>894</v>
      </c>
      <c r="Y2242">
        <v>2</v>
      </c>
      <c r="Z2242" s="13"/>
      <c r="AA2242" s="13">
        <f t="shared" si="114"/>
        <v>2082366</v>
      </c>
      <c r="AE2242" s="42"/>
      <c r="AL2242" s="88" t="s">
        <v>819</v>
      </c>
      <c r="AM2242" s="86">
        <v>600338</v>
      </c>
    </row>
    <row r="2243" spans="13:39" ht="15.75" hidden="1" thickBot="1">
      <c r="M2243" s="153">
        <v>2167584</v>
      </c>
      <c r="N2243" s="227">
        <v>441350</v>
      </c>
      <c r="O2243" s="155" t="s">
        <v>244</v>
      </c>
      <c r="P2243" s="155" t="s">
        <v>245</v>
      </c>
      <c r="Q2243" s="147" t="s">
        <v>649</v>
      </c>
      <c r="R2243" s="155" t="s">
        <v>639</v>
      </c>
      <c r="S2243" s="142" t="s">
        <v>17</v>
      </c>
      <c r="T2243" s="158">
        <v>41953</v>
      </c>
      <c r="U2243" s="172">
        <f t="shared" si="115"/>
        <v>2014</v>
      </c>
      <c r="V2243" s="172">
        <f t="shared" si="116"/>
        <v>11</v>
      </c>
      <c r="W2243" s="162" t="s">
        <v>640</v>
      </c>
      <c r="X2243" t="s">
        <v>894</v>
      </c>
      <c r="Y2243">
        <v>2</v>
      </c>
      <c r="Z2243" s="13"/>
      <c r="AA2243" s="13">
        <f t="shared" si="114"/>
        <v>2167584</v>
      </c>
      <c r="AE2243" s="42"/>
      <c r="AL2243" s="94" t="s">
        <v>819</v>
      </c>
      <c r="AM2243" s="86">
        <v>602734</v>
      </c>
    </row>
    <row r="2244" spans="13:39" ht="15.75" hidden="1" thickBot="1">
      <c r="M2244" s="153">
        <v>2177070</v>
      </c>
      <c r="N2244" s="227">
        <v>441351</v>
      </c>
      <c r="O2244" s="155" t="s">
        <v>244</v>
      </c>
      <c r="P2244" s="155" t="s">
        <v>245</v>
      </c>
      <c r="Q2244" s="147" t="s">
        <v>664</v>
      </c>
      <c r="R2244" s="155" t="s">
        <v>639</v>
      </c>
      <c r="S2244" s="142" t="s">
        <v>17</v>
      </c>
      <c r="T2244" s="158">
        <v>41953</v>
      </c>
      <c r="U2244" s="172">
        <f t="shared" si="115"/>
        <v>2014</v>
      </c>
      <c r="V2244" s="172">
        <f t="shared" si="116"/>
        <v>11</v>
      </c>
      <c r="W2244" s="162" t="s">
        <v>640</v>
      </c>
      <c r="X2244" t="s">
        <v>894</v>
      </c>
      <c r="Y2244">
        <v>2</v>
      </c>
      <c r="Z2244" s="13"/>
      <c r="AA2244" s="13">
        <f t="shared" ref="AA2244:AA2307" si="117">IF(M2244&lt;30000,Y2244*100*M2244*(1-$L$1)-$L$2*Y2244,M2244)</f>
        <v>2177070</v>
      </c>
      <c r="AE2244" s="42"/>
      <c r="AL2244" s="94" t="s">
        <v>819</v>
      </c>
      <c r="AM2244" s="86">
        <v>602734</v>
      </c>
    </row>
    <row r="2245" spans="13:39" ht="15.75" hidden="1" thickBot="1">
      <c r="M2245" s="153">
        <v>2186555</v>
      </c>
      <c r="N2245" s="227">
        <v>441350</v>
      </c>
      <c r="O2245" s="155" t="s">
        <v>244</v>
      </c>
      <c r="P2245" s="155" t="s">
        <v>245</v>
      </c>
      <c r="Q2245" s="147" t="s">
        <v>638</v>
      </c>
      <c r="R2245" s="155" t="s">
        <v>639</v>
      </c>
      <c r="S2245" s="142" t="s">
        <v>17</v>
      </c>
      <c r="T2245" s="158">
        <v>41953</v>
      </c>
      <c r="U2245" s="172">
        <f t="shared" si="115"/>
        <v>2014</v>
      </c>
      <c r="V2245" s="172">
        <f t="shared" si="116"/>
        <v>11</v>
      </c>
      <c r="W2245" s="162" t="s">
        <v>640</v>
      </c>
      <c r="X2245" t="s">
        <v>894</v>
      </c>
      <c r="Y2245">
        <v>2</v>
      </c>
      <c r="Z2245" s="13"/>
      <c r="AA2245" s="13">
        <f t="shared" si="117"/>
        <v>2186555</v>
      </c>
      <c r="AE2245" s="42"/>
      <c r="AL2245" s="94" t="s">
        <v>819</v>
      </c>
      <c r="AM2245" s="86">
        <v>602734</v>
      </c>
    </row>
    <row r="2246" spans="13:39" ht="30.75" hidden="1" thickBot="1">
      <c r="M2246" s="153">
        <v>2307000</v>
      </c>
      <c r="N2246" s="227">
        <v>401204</v>
      </c>
      <c r="O2246" s="155" t="s">
        <v>244</v>
      </c>
      <c r="P2246" s="155" t="s">
        <v>245</v>
      </c>
      <c r="Q2246" s="150">
        <v>159</v>
      </c>
      <c r="R2246" s="155" t="s">
        <v>625</v>
      </c>
      <c r="S2246" s="142" t="s">
        <v>17</v>
      </c>
      <c r="T2246" s="158">
        <v>42743</v>
      </c>
      <c r="U2246" s="172">
        <f t="shared" si="115"/>
        <v>2017</v>
      </c>
      <c r="V2246" s="172">
        <f t="shared" si="116"/>
        <v>1</v>
      </c>
      <c r="W2246" s="162" t="s">
        <v>626</v>
      </c>
      <c r="X2246" t="s">
        <v>894</v>
      </c>
      <c r="Y2246">
        <v>2</v>
      </c>
      <c r="Z2246" s="13"/>
      <c r="AA2246" s="13">
        <f t="shared" si="117"/>
        <v>2307000</v>
      </c>
      <c r="AE2246" s="42"/>
      <c r="AL2246" s="94" t="s">
        <v>819</v>
      </c>
      <c r="AM2246" s="86">
        <v>604444</v>
      </c>
    </row>
    <row r="2247" spans="13:39" ht="15.75" hidden="1" thickBot="1">
      <c r="M2247" s="153">
        <v>2340000</v>
      </c>
      <c r="N2247" s="227">
        <v>441350</v>
      </c>
      <c r="O2247" s="155" t="s">
        <v>244</v>
      </c>
      <c r="P2247" s="155" t="s">
        <v>245</v>
      </c>
      <c r="Q2247" s="147" t="s">
        <v>663</v>
      </c>
      <c r="R2247" s="155" t="s">
        <v>639</v>
      </c>
      <c r="S2247" s="142" t="s">
        <v>17</v>
      </c>
      <c r="T2247" s="158">
        <v>41953</v>
      </c>
      <c r="U2247" s="172">
        <f t="shared" ref="U2247:U2310" si="118">YEAR($T2247)</f>
        <v>2014</v>
      </c>
      <c r="V2247" s="172">
        <f t="shared" ref="V2247:V2310" si="119">MONTH($T2247)</f>
        <v>11</v>
      </c>
      <c r="W2247" s="162" t="s">
        <v>640</v>
      </c>
      <c r="X2247" t="s">
        <v>894</v>
      </c>
      <c r="Y2247">
        <v>2</v>
      </c>
      <c r="Z2247" s="13"/>
      <c r="AA2247" s="13">
        <f t="shared" si="117"/>
        <v>2340000</v>
      </c>
      <c r="AE2247" s="42"/>
      <c r="AL2247" s="94" t="s">
        <v>819</v>
      </c>
      <c r="AM2247" s="86">
        <v>6045837</v>
      </c>
    </row>
    <row r="2248" spans="13:39" ht="15.75" hidden="1" thickBot="1">
      <c r="M2248" s="153">
        <v>2353000</v>
      </c>
      <c r="N2248" s="227">
        <v>441350</v>
      </c>
      <c r="O2248" s="155" t="s">
        <v>244</v>
      </c>
      <c r="P2248" s="155" t="s">
        <v>245</v>
      </c>
      <c r="Q2248" s="147" t="s">
        <v>657</v>
      </c>
      <c r="R2248" s="155" t="s">
        <v>639</v>
      </c>
      <c r="S2248" s="142" t="s">
        <v>17</v>
      </c>
      <c r="T2248" s="158">
        <v>41953</v>
      </c>
      <c r="U2248" s="172">
        <f t="shared" si="118"/>
        <v>2014</v>
      </c>
      <c r="V2248" s="172">
        <f t="shared" si="119"/>
        <v>11</v>
      </c>
      <c r="W2248" s="162" t="s">
        <v>640</v>
      </c>
      <c r="X2248" t="s">
        <v>894</v>
      </c>
      <c r="Y2248">
        <v>2</v>
      </c>
      <c r="Z2248" s="13"/>
      <c r="AA2248" s="13">
        <f t="shared" si="117"/>
        <v>2353000</v>
      </c>
      <c r="AE2248" s="42"/>
      <c r="AL2248" s="94" t="s">
        <v>819</v>
      </c>
      <c r="AM2248" s="86">
        <v>605013</v>
      </c>
    </row>
    <row r="2249" spans="13:39" ht="15.75" hidden="1" thickBot="1">
      <c r="M2249" s="153">
        <v>2355556</v>
      </c>
      <c r="N2249" s="227">
        <v>441351</v>
      </c>
      <c r="O2249" s="155" t="s">
        <v>244</v>
      </c>
      <c r="P2249" s="155" t="s">
        <v>245</v>
      </c>
      <c r="Q2249" s="147" t="s">
        <v>659</v>
      </c>
      <c r="R2249" s="155" t="s">
        <v>639</v>
      </c>
      <c r="S2249" s="142" t="s">
        <v>17</v>
      </c>
      <c r="T2249" s="158">
        <v>41953</v>
      </c>
      <c r="U2249" s="172">
        <f t="shared" si="118"/>
        <v>2014</v>
      </c>
      <c r="V2249" s="172">
        <f t="shared" si="119"/>
        <v>11</v>
      </c>
      <c r="W2249" s="162" t="s">
        <v>640</v>
      </c>
      <c r="X2249" t="s">
        <v>894</v>
      </c>
      <c r="Y2249">
        <v>2</v>
      </c>
      <c r="Z2249" s="13"/>
      <c r="AA2249" s="13">
        <f t="shared" si="117"/>
        <v>2355556</v>
      </c>
      <c r="AE2249" s="42"/>
      <c r="AL2249" s="94" t="s">
        <v>819</v>
      </c>
      <c r="AM2249" s="86">
        <v>605782</v>
      </c>
    </row>
    <row r="2250" spans="13:39" ht="15.75" hidden="1" thickBot="1">
      <c r="M2250" s="153">
        <v>2400120</v>
      </c>
      <c r="N2250" s="227">
        <v>441351</v>
      </c>
      <c r="O2250" s="155" t="s">
        <v>244</v>
      </c>
      <c r="P2250" s="155" t="s">
        <v>245</v>
      </c>
      <c r="Q2250" s="147" t="s">
        <v>655</v>
      </c>
      <c r="R2250" s="155" t="s">
        <v>639</v>
      </c>
      <c r="S2250" s="142" t="s">
        <v>17</v>
      </c>
      <c r="T2250" s="158">
        <v>41953</v>
      </c>
      <c r="U2250" s="172">
        <f t="shared" si="118"/>
        <v>2014</v>
      </c>
      <c r="V2250" s="172">
        <f t="shared" si="119"/>
        <v>11</v>
      </c>
      <c r="W2250" s="162" t="s">
        <v>640</v>
      </c>
      <c r="X2250" t="s">
        <v>894</v>
      </c>
      <c r="Y2250">
        <v>2</v>
      </c>
      <c r="Z2250" s="13"/>
      <c r="AA2250" s="13">
        <f t="shared" si="117"/>
        <v>2400120</v>
      </c>
      <c r="AE2250" s="42"/>
      <c r="AL2250" s="94" t="s">
        <v>819</v>
      </c>
      <c r="AM2250" s="86">
        <v>607860</v>
      </c>
    </row>
    <row r="2251" spans="13:39" ht="15.75" hidden="1" thickBot="1">
      <c r="M2251" s="153">
        <v>2401700</v>
      </c>
      <c r="N2251" s="227">
        <v>441351</v>
      </c>
      <c r="O2251" s="155" t="s">
        <v>244</v>
      </c>
      <c r="P2251" s="155" t="s">
        <v>245</v>
      </c>
      <c r="Q2251" s="147" t="s">
        <v>653</v>
      </c>
      <c r="R2251" s="155" t="s">
        <v>639</v>
      </c>
      <c r="S2251" s="142" t="s">
        <v>17</v>
      </c>
      <c r="T2251" s="158">
        <v>41953</v>
      </c>
      <c r="U2251" s="172">
        <f t="shared" si="118"/>
        <v>2014</v>
      </c>
      <c r="V2251" s="172">
        <f t="shared" si="119"/>
        <v>11</v>
      </c>
      <c r="W2251" s="162" t="s">
        <v>640</v>
      </c>
      <c r="X2251" t="s">
        <v>894</v>
      </c>
      <c r="Y2251">
        <v>2</v>
      </c>
      <c r="Z2251" s="13"/>
      <c r="AA2251" s="13">
        <f t="shared" si="117"/>
        <v>2401700</v>
      </c>
      <c r="AE2251" s="42"/>
      <c r="AL2251" s="94" t="s">
        <v>819</v>
      </c>
      <c r="AM2251" s="86">
        <v>613186</v>
      </c>
    </row>
    <row r="2252" spans="13:39" ht="15.75" hidden="1" thickBot="1">
      <c r="M2252" s="153">
        <v>2411561</v>
      </c>
      <c r="N2252" s="227">
        <v>441350</v>
      </c>
      <c r="O2252" s="155" t="s">
        <v>244</v>
      </c>
      <c r="P2252" s="155" t="s">
        <v>245</v>
      </c>
      <c r="Q2252" s="147" t="s">
        <v>642</v>
      </c>
      <c r="R2252" s="155" t="s">
        <v>639</v>
      </c>
      <c r="S2252" s="142" t="s">
        <v>17</v>
      </c>
      <c r="T2252" s="158">
        <v>41953</v>
      </c>
      <c r="U2252" s="172">
        <f t="shared" si="118"/>
        <v>2014</v>
      </c>
      <c r="V2252" s="172">
        <f t="shared" si="119"/>
        <v>11</v>
      </c>
      <c r="W2252" s="162" t="s">
        <v>640</v>
      </c>
      <c r="X2252" t="s">
        <v>894</v>
      </c>
      <c r="Y2252">
        <v>2</v>
      </c>
      <c r="Z2252" s="13"/>
      <c r="AA2252" s="13">
        <f t="shared" si="117"/>
        <v>2411561</v>
      </c>
      <c r="AE2252" s="42"/>
      <c r="AL2252" s="94" t="s">
        <v>819</v>
      </c>
      <c r="AM2252" s="86">
        <v>613755</v>
      </c>
    </row>
    <row r="2253" spans="13:39" ht="30.75" hidden="1" thickBot="1">
      <c r="M2253" s="153">
        <v>2455560</v>
      </c>
      <c r="N2253" s="227">
        <v>401204</v>
      </c>
      <c r="O2253" s="155" t="s">
        <v>244</v>
      </c>
      <c r="P2253" s="155" t="s">
        <v>245</v>
      </c>
      <c r="Q2253" s="150">
        <v>2</v>
      </c>
      <c r="R2253" s="155" t="s">
        <v>625</v>
      </c>
      <c r="S2253" s="142" t="s">
        <v>17</v>
      </c>
      <c r="T2253" s="158">
        <v>42743</v>
      </c>
      <c r="U2253" s="172">
        <f t="shared" si="118"/>
        <v>2017</v>
      </c>
      <c r="V2253" s="172">
        <f t="shared" si="119"/>
        <v>1</v>
      </c>
      <c r="W2253" s="162" t="s">
        <v>626</v>
      </c>
      <c r="X2253" t="s">
        <v>894</v>
      </c>
      <c r="Y2253">
        <v>2</v>
      </c>
      <c r="Z2253" s="13"/>
      <c r="AA2253" s="13">
        <f t="shared" si="117"/>
        <v>2455560</v>
      </c>
      <c r="AE2253" s="42"/>
      <c r="AL2253" s="94" t="s">
        <v>819</v>
      </c>
      <c r="AM2253" s="86">
        <v>613755</v>
      </c>
    </row>
    <row r="2254" spans="13:39" ht="15.75" hidden="1" thickBot="1">
      <c r="M2254" s="153">
        <v>2471569</v>
      </c>
      <c r="N2254" s="227">
        <v>441351</v>
      </c>
      <c r="O2254" s="155" t="s">
        <v>244</v>
      </c>
      <c r="P2254" s="155" t="s">
        <v>245</v>
      </c>
      <c r="Q2254" s="147" t="s">
        <v>654</v>
      </c>
      <c r="R2254" s="155" t="s">
        <v>639</v>
      </c>
      <c r="S2254" s="142" t="s">
        <v>17</v>
      </c>
      <c r="T2254" s="158">
        <v>41953</v>
      </c>
      <c r="U2254" s="172">
        <f t="shared" si="118"/>
        <v>2014</v>
      </c>
      <c r="V2254" s="172">
        <f t="shared" si="119"/>
        <v>11</v>
      </c>
      <c r="W2254" s="162" t="s">
        <v>640</v>
      </c>
      <c r="X2254" t="s">
        <v>894</v>
      </c>
      <c r="Y2254">
        <v>2</v>
      </c>
      <c r="Z2254" s="13"/>
      <c r="AA2254" s="13">
        <f t="shared" si="117"/>
        <v>2471569</v>
      </c>
      <c r="AE2254" s="42"/>
      <c r="AL2254" s="88" t="s">
        <v>819</v>
      </c>
      <c r="AM2254" s="86">
        <v>615333</v>
      </c>
    </row>
    <row r="2255" spans="13:39" ht="15.75" hidden="1" thickBot="1">
      <c r="M2255" s="153">
        <v>2481907</v>
      </c>
      <c r="N2255" s="227">
        <v>441350</v>
      </c>
      <c r="O2255" s="155" t="s">
        <v>244</v>
      </c>
      <c r="P2255" s="155" t="s">
        <v>245</v>
      </c>
      <c r="Q2255" s="147" t="s">
        <v>641</v>
      </c>
      <c r="R2255" s="155" t="s">
        <v>639</v>
      </c>
      <c r="S2255" s="142" t="s">
        <v>17</v>
      </c>
      <c r="T2255" s="158">
        <v>41953</v>
      </c>
      <c r="U2255" s="172">
        <f t="shared" si="118"/>
        <v>2014</v>
      </c>
      <c r="V2255" s="172">
        <f t="shared" si="119"/>
        <v>11</v>
      </c>
      <c r="W2255" s="162" t="s">
        <v>640</v>
      </c>
      <c r="X2255" t="s">
        <v>894</v>
      </c>
      <c r="Y2255">
        <v>2</v>
      </c>
      <c r="Z2255" s="13"/>
      <c r="AA2255" s="13">
        <f t="shared" si="117"/>
        <v>2481907</v>
      </c>
      <c r="AE2255" s="42"/>
      <c r="AL2255" s="88" t="s">
        <v>819</v>
      </c>
      <c r="AM2255" s="86">
        <v>615333</v>
      </c>
    </row>
    <row r="2256" spans="13:39" ht="15.75" hidden="1" thickBot="1">
      <c r="M2256" s="153">
        <v>2544384</v>
      </c>
      <c r="N2256" s="227">
        <v>441351</v>
      </c>
      <c r="O2256" s="155" t="s">
        <v>244</v>
      </c>
      <c r="P2256" s="155" t="s">
        <v>245</v>
      </c>
      <c r="Q2256" s="147" t="s">
        <v>658</v>
      </c>
      <c r="R2256" s="155" t="s">
        <v>639</v>
      </c>
      <c r="S2256" s="142" t="s">
        <v>17</v>
      </c>
      <c r="T2256" s="158">
        <v>41953</v>
      </c>
      <c r="U2256" s="172">
        <f t="shared" si="118"/>
        <v>2014</v>
      </c>
      <c r="V2256" s="172">
        <f t="shared" si="119"/>
        <v>11</v>
      </c>
      <c r="W2256" s="162" t="s">
        <v>640</v>
      </c>
      <c r="X2256" t="s">
        <v>894</v>
      </c>
      <c r="Y2256">
        <v>2</v>
      </c>
      <c r="Z2256" s="13"/>
      <c r="AA2256" s="13">
        <f t="shared" si="117"/>
        <v>2544384</v>
      </c>
      <c r="AE2256" s="42"/>
      <c r="AL2256" s="94" t="s">
        <v>819</v>
      </c>
      <c r="AM2256" s="86">
        <v>616404</v>
      </c>
    </row>
    <row r="2257" spans="13:39" ht="15.75" hidden="1" thickBot="1">
      <c r="M2257" s="153">
        <v>2600000</v>
      </c>
      <c r="N2257" s="227">
        <v>441350</v>
      </c>
      <c r="O2257" s="155" t="s">
        <v>244</v>
      </c>
      <c r="P2257" s="155" t="s">
        <v>245</v>
      </c>
      <c r="Q2257" s="147" t="s">
        <v>650</v>
      </c>
      <c r="R2257" s="155" t="s">
        <v>639</v>
      </c>
      <c r="S2257" s="142" t="s">
        <v>17</v>
      </c>
      <c r="T2257" s="158">
        <v>41953</v>
      </c>
      <c r="U2257" s="172">
        <f t="shared" si="118"/>
        <v>2014</v>
      </c>
      <c r="V2257" s="172">
        <f t="shared" si="119"/>
        <v>11</v>
      </c>
      <c r="W2257" s="162" t="s">
        <v>640</v>
      </c>
      <c r="X2257" t="s">
        <v>894</v>
      </c>
      <c r="Y2257">
        <v>2</v>
      </c>
      <c r="Z2257" s="13"/>
      <c r="AA2257" s="13">
        <f t="shared" si="117"/>
        <v>2600000</v>
      </c>
      <c r="AE2257" s="42"/>
      <c r="AL2257" s="88" t="s">
        <v>819</v>
      </c>
      <c r="AM2257" s="86">
        <v>6168378</v>
      </c>
    </row>
    <row r="2258" spans="13:39" ht="15.75" hidden="1" thickBot="1">
      <c r="M2258" s="153">
        <v>2600000</v>
      </c>
      <c r="N2258" s="227">
        <v>441351</v>
      </c>
      <c r="O2258" s="155" t="s">
        <v>244</v>
      </c>
      <c r="P2258" s="155" t="s">
        <v>245</v>
      </c>
      <c r="Q2258" s="147" t="s">
        <v>660</v>
      </c>
      <c r="R2258" s="155" t="s">
        <v>639</v>
      </c>
      <c r="S2258" s="142" t="s">
        <v>17</v>
      </c>
      <c r="T2258" s="158">
        <v>41953</v>
      </c>
      <c r="U2258" s="172">
        <f t="shared" si="118"/>
        <v>2014</v>
      </c>
      <c r="V2258" s="172">
        <f t="shared" si="119"/>
        <v>11</v>
      </c>
      <c r="W2258" s="162" t="s">
        <v>640</v>
      </c>
      <c r="X2258" t="s">
        <v>894</v>
      </c>
      <c r="Y2258">
        <v>2</v>
      </c>
      <c r="Z2258" s="13"/>
      <c r="AA2258" s="13">
        <f t="shared" si="117"/>
        <v>2600000</v>
      </c>
      <c r="AE2258" s="42"/>
      <c r="AL2258" s="94" t="s">
        <v>819</v>
      </c>
      <c r="AM2258" s="86">
        <v>616973</v>
      </c>
    </row>
    <row r="2259" spans="13:39" ht="15.75" hidden="1" thickBot="1">
      <c r="M2259" s="153">
        <v>2610000</v>
      </c>
      <c r="N2259" s="227">
        <v>441350</v>
      </c>
      <c r="O2259" s="155" t="s">
        <v>244</v>
      </c>
      <c r="P2259" s="155" t="s">
        <v>245</v>
      </c>
      <c r="Q2259" s="147" t="s">
        <v>646</v>
      </c>
      <c r="R2259" s="155" t="s">
        <v>639</v>
      </c>
      <c r="S2259" s="142" t="s">
        <v>17</v>
      </c>
      <c r="T2259" s="158">
        <v>41953</v>
      </c>
      <c r="U2259" s="172">
        <f t="shared" si="118"/>
        <v>2014</v>
      </c>
      <c r="V2259" s="172">
        <f t="shared" si="119"/>
        <v>11</v>
      </c>
      <c r="W2259" s="162" t="s">
        <v>640</v>
      </c>
      <c r="X2259" t="s">
        <v>894</v>
      </c>
      <c r="Y2259">
        <v>2</v>
      </c>
      <c r="Z2259" s="13"/>
      <c r="AA2259" s="13">
        <f t="shared" si="117"/>
        <v>2610000</v>
      </c>
      <c r="AE2259" s="42"/>
      <c r="AL2259" s="94" t="s">
        <v>819</v>
      </c>
      <c r="AM2259" s="86">
        <v>617543</v>
      </c>
    </row>
    <row r="2260" spans="13:39" ht="30.75" hidden="1" thickBot="1">
      <c r="M2260" s="153">
        <v>2620000</v>
      </c>
      <c r="N2260" s="227">
        <v>401203</v>
      </c>
      <c r="O2260" s="155" t="s">
        <v>244</v>
      </c>
      <c r="P2260" s="155" t="s">
        <v>245</v>
      </c>
      <c r="Q2260" s="150">
        <v>169</v>
      </c>
      <c r="R2260" s="155" t="s">
        <v>625</v>
      </c>
      <c r="S2260" s="142" t="s">
        <v>17</v>
      </c>
      <c r="T2260" s="158">
        <v>42743</v>
      </c>
      <c r="U2260" s="172">
        <f t="shared" si="118"/>
        <v>2017</v>
      </c>
      <c r="V2260" s="172">
        <f t="shared" si="119"/>
        <v>1</v>
      </c>
      <c r="W2260" s="162" t="s">
        <v>626</v>
      </c>
      <c r="X2260" t="s">
        <v>894</v>
      </c>
      <c r="Y2260">
        <v>2</v>
      </c>
      <c r="Z2260" s="13"/>
      <c r="AA2260" s="13">
        <f t="shared" si="117"/>
        <v>2620000</v>
      </c>
      <c r="AE2260" s="42"/>
      <c r="AL2260" s="94" t="s">
        <v>819</v>
      </c>
      <c r="AM2260" s="86">
        <v>618681</v>
      </c>
    </row>
    <row r="2261" spans="13:39" ht="15.75" hidden="1" thickBot="1">
      <c r="M2261" s="153">
        <v>2620000</v>
      </c>
      <c r="N2261" s="227">
        <v>441351</v>
      </c>
      <c r="O2261" s="155" t="s">
        <v>244</v>
      </c>
      <c r="P2261" s="155" t="s">
        <v>245</v>
      </c>
      <c r="Q2261" s="147" t="s">
        <v>645</v>
      </c>
      <c r="R2261" s="155" t="s">
        <v>639</v>
      </c>
      <c r="S2261" s="142" t="s">
        <v>17</v>
      </c>
      <c r="T2261" s="158">
        <v>41953</v>
      </c>
      <c r="U2261" s="172">
        <f t="shared" si="118"/>
        <v>2014</v>
      </c>
      <c r="V2261" s="172">
        <f t="shared" si="119"/>
        <v>11</v>
      </c>
      <c r="W2261" s="162" t="s">
        <v>640</v>
      </c>
      <c r="X2261" t="s">
        <v>894</v>
      </c>
      <c r="Y2261">
        <v>2</v>
      </c>
      <c r="Z2261" s="13"/>
      <c r="AA2261" s="13">
        <f t="shared" si="117"/>
        <v>2620000</v>
      </c>
      <c r="AE2261" s="42"/>
      <c r="AL2261" s="94" t="s">
        <v>819</v>
      </c>
      <c r="AM2261" s="86">
        <v>618681</v>
      </c>
    </row>
    <row r="2262" spans="13:39" ht="30.75" hidden="1" thickBot="1">
      <c r="M2262" s="153">
        <v>2650720</v>
      </c>
      <c r="N2262" s="227">
        <v>401204</v>
      </c>
      <c r="O2262" s="155" t="s">
        <v>244</v>
      </c>
      <c r="P2262" s="155" t="s">
        <v>245</v>
      </c>
      <c r="Q2262" s="150">
        <v>171</v>
      </c>
      <c r="R2262" s="155" t="s">
        <v>625</v>
      </c>
      <c r="S2262" s="142" t="s">
        <v>17</v>
      </c>
      <c r="T2262" s="158">
        <v>42743</v>
      </c>
      <c r="U2262" s="172">
        <f t="shared" si="118"/>
        <v>2017</v>
      </c>
      <c r="V2262" s="172">
        <f t="shared" si="119"/>
        <v>1</v>
      </c>
      <c r="W2262" s="162" t="s">
        <v>626</v>
      </c>
      <c r="X2262" t="s">
        <v>894</v>
      </c>
      <c r="Y2262">
        <v>2</v>
      </c>
      <c r="Z2262" s="13"/>
      <c r="AA2262" s="13">
        <f t="shared" si="117"/>
        <v>2650720</v>
      </c>
      <c r="AE2262" s="42"/>
      <c r="AL2262" s="88" t="s">
        <v>819</v>
      </c>
      <c r="AM2262" s="86">
        <v>619231</v>
      </c>
    </row>
    <row r="2263" spans="13:39" ht="15.75" hidden="1" thickBot="1">
      <c r="M2263" s="153">
        <v>2678128</v>
      </c>
      <c r="N2263" s="227">
        <v>441351</v>
      </c>
      <c r="O2263" s="155" t="s">
        <v>244</v>
      </c>
      <c r="P2263" s="155" t="s">
        <v>245</v>
      </c>
      <c r="Q2263" s="147" t="s">
        <v>656</v>
      </c>
      <c r="R2263" s="155" t="s">
        <v>639</v>
      </c>
      <c r="S2263" s="142" t="s">
        <v>17</v>
      </c>
      <c r="T2263" s="158">
        <v>41953</v>
      </c>
      <c r="U2263" s="172">
        <f t="shared" si="118"/>
        <v>2014</v>
      </c>
      <c r="V2263" s="172">
        <f t="shared" si="119"/>
        <v>11</v>
      </c>
      <c r="W2263" s="162" t="s">
        <v>640</v>
      </c>
      <c r="X2263" t="s">
        <v>894</v>
      </c>
      <c r="Y2263">
        <v>2</v>
      </c>
      <c r="Z2263" s="13"/>
      <c r="AA2263" s="13">
        <f t="shared" si="117"/>
        <v>2678128</v>
      </c>
      <c r="AE2263" s="42"/>
      <c r="AL2263" s="88" t="s">
        <v>819</v>
      </c>
      <c r="AM2263" s="86">
        <v>619940</v>
      </c>
    </row>
    <row r="2264" spans="13:39" ht="15.75" hidden="1" thickBot="1">
      <c r="M2264" s="153">
        <v>2700000</v>
      </c>
      <c r="N2264" s="227">
        <v>441350</v>
      </c>
      <c r="O2264" s="155" t="s">
        <v>244</v>
      </c>
      <c r="P2264" s="155" t="s">
        <v>245</v>
      </c>
      <c r="Q2264" s="147" t="s">
        <v>647</v>
      </c>
      <c r="R2264" s="155" t="s">
        <v>639</v>
      </c>
      <c r="S2264" s="142" t="s">
        <v>17</v>
      </c>
      <c r="T2264" s="158">
        <v>41953</v>
      </c>
      <c r="U2264" s="172">
        <f t="shared" si="118"/>
        <v>2014</v>
      </c>
      <c r="V2264" s="172">
        <f t="shared" si="119"/>
        <v>11</v>
      </c>
      <c r="W2264" s="162" t="s">
        <v>640</v>
      </c>
      <c r="X2264" t="s">
        <v>894</v>
      </c>
      <c r="Y2264">
        <v>2</v>
      </c>
      <c r="Z2264" s="13"/>
      <c r="AA2264" s="13">
        <f t="shared" si="117"/>
        <v>2700000</v>
      </c>
      <c r="AE2264" s="42"/>
      <c r="AL2264" s="88" t="s">
        <v>819</v>
      </c>
      <c r="AM2264" s="86">
        <v>619940</v>
      </c>
    </row>
    <row r="2265" spans="13:39" ht="15.75" hidden="1" thickBot="1">
      <c r="M2265" s="153">
        <v>2719194</v>
      </c>
      <c r="N2265" s="227">
        <v>441351</v>
      </c>
      <c r="O2265" s="155" t="s">
        <v>244</v>
      </c>
      <c r="P2265" s="155" t="s">
        <v>245</v>
      </c>
      <c r="Q2265" s="147" t="s">
        <v>651</v>
      </c>
      <c r="R2265" s="155" t="s">
        <v>639</v>
      </c>
      <c r="S2265" s="142" t="s">
        <v>17</v>
      </c>
      <c r="T2265" s="158">
        <v>41953</v>
      </c>
      <c r="U2265" s="172">
        <f t="shared" si="118"/>
        <v>2014</v>
      </c>
      <c r="V2265" s="172">
        <f t="shared" si="119"/>
        <v>11</v>
      </c>
      <c r="W2265" s="162" t="s">
        <v>640</v>
      </c>
      <c r="X2265" t="s">
        <v>894</v>
      </c>
      <c r="Y2265">
        <v>2</v>
      </c>
      <c r="Z2265" s="13"/>
      <c r="AA2265" s="13">
        <f t="shared" si="117"/>
        <v>2719194</v>
      </c>
      <c r="AE2265" s="42"/>
      <c r="AL2265" s="88" t="s">
        <v>819</v>
      </c>
      <c r="AM2265" s="86">
        <v>6199771</v>
      </c>
    </row>
    <row r="2266" spans="13:39" ht="30.75" hidden="1" thickBot="1">
      <c r="M2266" s="153">
        <v>2734965</v>
      </c>
      <c r="N2266" s="227">
        <v>401203</v>
      </c>
      <c r="O2266" s="155" t="s">
        <v>244</v>
      </c>
      <c r="P2266" s="155" t="s">
        <v>245</v>
      </c>
      <c r="Q2266" s="150">
        <v>170</v>
      </c>
      <c r="R2266" s="155" t="s">
        <v>625</v>
      </c>
      <c r="S2266" s="142" t="s">
        <v>17</v>
      </c>
      <c r="T2266" s="158">
        <v>42743</v>
      </c>
      <c r="U2266" s="172">
        <f t="shared" si="118"/>
        <v>2017</v>
      </c>
      <c r="V2266" s="172">
        <f t="shared" si="119"/>
        <v>1</v>
      </c>
      <c r="W2266" s="162" t="s">
        <v>626</v>
      </c>
      <c r="X2266" t="s">
        <v>894</v>
      </c>
      <c r="Y2266">
        <v>2</v>
      </c>
      <c r="Z2266" s="13"/>
      <c r="AA2266" s="13">
        <f t="shared" si="117"/>
        <v>2734965</v>
      </c>
      <c r="AE2266" s="42"/>
      <c r="AL2266" s="94" t="s">
        <v>819</v>
      </c>
      <c r="AM2266" s="86">
        <v>6200260</v>
      </c>
    </row>
    <row r="2267" spans="13:39" ht="30.75" hidden="1" thickBot="1">
      <c r="M2267" s="153">
        <v>2740000</v>
      </c>
      <c r="N2267" s="227">
        <v>401204</v>
      </c>
      <c r="O2267" s="155" t="s">
        <v>244</v>
      </c>
      <c r="P2267" s="155" t="s">
        <v>245</v>
      </c>
      <c r="Q2267" s="150">
        <v>167</v>
      </c>
      <c r="R2267" s="155" t="s">
        <v>625</v>
      </c>
      <c r="S2267" s="142" t="s">
        <v>17</v>
      </c>
      <c r="T2267" s="158">
        <v>42743</v>
      </c>
      <c r="U2267" s="172">
        <f t="shared" si="118"/>
        <v>2017</v>
      </c>
      <c r="V2267" s="172">
        <f t="shared" si="119"/>
        <v>1</v>
      </c>
      <c r="W2267" s="162" t="s">
        <v>626</v>
      </c>
      <c r="X2267" t="s">
        <v>894</v>
      </c>
      <c r="Y2267">
        <v>2</v>
      </c>
      <c r="Z2267" s="13"/>
      <c r="AA2267" s="13">
        <f t="shared" si="117"/>
        <v>2740000</v>
      </c>
      <c r="AE2267" s="42"/>
      <c r="AL2267" s="88" t="s">
        <v>819</v>
      </c>
      <c r="AM2267" s="86">
        <v>620600</v>
      </c>
    </row>
    <row r="2268" spans="13:39" ht="30.75" hidden="1" thickBot="1">
      <c r="M2268" s="153">
        <v>2760000</v>
      </c>
      <c r="N2268" s="227">
        <v>401204</v>
      </c>
      <c r="O2268" s="155" t="s">
        <v>244</v>
      </c>
      <c r="P2268" s="155" t="s">
        <v>245</v>
      </c>
      <c r="Q2268" s="150">
        <v>168</v>
      </c>
      <c r="R2268" s="155" t="s">
        <v>625</v>
      </c>
      <c r="S2268" s="142" t="s">
        <v>17</v>
      </c>
      <c r="T2268" s="158">
        <v>42743</v>
      </c>
      <c r="U2268" s="172">
        <f t="shared" si="118"/>
        <v>2017</v>
      </c>
      <c r="V2268" s="172">
        <f t="shared" si="119"/>
        <v>1</v>
      </c>
      <c r="W2268" s="162" t="s">
        <v>626</v>
      </c>
      <c r="X2268" t="s">
        <v>894</v>
      </c>
      <c r="Y2268">
        <v>2</v>
      </c>
      <c r="Z2268" s="13"/>
      <c r="AA2268" s="13">
        <f t="shared" si="117"/>
        <v>2760000</v>
      </c>
      <c r="AE2268" s="42"/>
      <c r="AL2268" s="88" t="s">
        <v>819</v>
      </c>
      <c r="AM2268" s="86">
        <v>620972</v>
      </c>
    </row>
    <row r="2269" spans="13:39" ht="15.75" hidden="1" thickBot="1">
      <c r="M2269" s="153">
        <v>2774000</v>
      </c>
      <c r="N2269" s="227">
        <v>441351</v>
      </c>
      <c r="O2269" s="155" t="s">
        <v>244</v>
      </c>
      <c r="P2269" s="155" t="s">
        <v>245</v>
      </c>
      <c r="Q2269" s="147" t="s">
        <v>652</v>
      </c>
      <c r="R2269" s="155" t="s">
        <v>639</v>
      </c>
      <c r="S2269" s="142" t="s">
        <v>17</v>
      </c>
      <c r="T2269" s="158">
        <v>41953</v>
      </c>
      <c r="U2269" s="172">
        <f t="shared" si="118"/>
        <v>2014</v>
      </c>
      <c r="V2269" s="172">
        <f t="shared" si="119"/>
        <v>11</v>
      </c>
      <c r="W2269" s="162" t="s">
        <v>640</v>
      </c>
      <c r="X2269" t="s">
        <v>894</v>
      </c>
      <c r="Y2269">
        <v>2</v>
      </c>
      <c r="Z2269" s="13"/>
      <c r="AA2269" s="13">
        <f t="shared" si="117"/>
        <v>2774000</v>
      </c>
      <c r="AE2269" s="42"/>
      <c r="AL2269" s="88" t="s">
        <v>819</v>
      </c>
      <c r="AM2269" s="86">
        <v>620972</v>
      </c>
    </row>
    <row r="2270" spans="13:39" ht="30.75" hidden="1" thickBot="1">
      <c r="M2270" s="153">
        <v>2905000</v>
      </c>
      <c r="N2270" s="227">
        <v>401204</v>
      </c>
      <c r="O2270" s="155" t="s">
        <v>244</v>
      </c>
      <c r="P2270" s="155" t="s">
        <v>245</v>
      </c>
      <c r="Q2270" s="150">
        <v>166</v>
      </c>
      <c r="R2270" s="155" t="s">
        <v>625</v>
      </c>
      <c r="S2270" s="142" t="s">
        <v>17</v>
      </c>
      <c r="T2270" s="158">
        <v>42743</v>
      </c>
      <c r="U2270" s="172">
        <f t="shared" si="118"/>
        <v>2017</v>
      </c>
      <c r="V2270" s="172">
        <f t="shared" si="119"/>
        <v>1</v>
      </c>
      <c r="W2270" s="162" t="s">
        <v>626</v>
      </c>
      <c r="X2270" t="s">
        <v>894</v>
      </c>
      <c r="Y2270">
        <v>2</v>
      </c>
      <c r="Z2270" s="13"/>
      <c r="AA2270" s="13">
        <f t="shared" si="117"/>
        <v>2905000</v>
      </c>
      <c r="AE2270" s="42"/>
      <c r="AL2270" s="88" t="s">
        <v>819</v>
      </c>
      <c r="AM2270" s="86">
        <v>620972</v>
      </c>
    </row>
    <row r="2271" spans="13:39" ht="30.75" hidden="1" thickBot="1">
      <c r="M2271" s="153">
        <v>2939000</v>
      </c>
      <c r="N2271" s="227">
        <v>401204</v>
      </c>
      <c r="O2271" s="155" t="s">
        <v>244</v>
      </c>
      <c r="P2271" s="155" t="s">
        <v>245</v>
      </c>
      <c r="Q2271" s="150">
        <v>190</v>
      </c>
      <c r="R2271" s="155" t="s">
        <v>625</v>
      </c>
      <c r="S2271" s="142" t="s">
        <v>17</v>
      </c>
      <c r="T2271" s="158">
        <v>42743</v>
      </c>
      <c r="U2271" s="172">
        <f t="shared" si="118"/>
        <v>2017</v>
      </c>
      <c r="V2271" s="172">
        <f t="shared" si="119"/>
        <v>1</v>
      </c>
      <c r="W2271" s="162" t="s">
        <v>626</v>
      </c>
      <c r="X2271" t="s">
        <v>894</v>
      </c>
      <c r="Y2271">
        <v>2</v>
      </c>
      <c r="Z2271" s="13"/>
      <c r="AA2271" s="13">
        <f t="shared" si="117"/>
        <v>2939000</v>
      </c>
      <c r="AE2271" s="42"/>
      <c r="AL2271" s="94" t="s">
        <v>819</v>
      </c>
      <c r="AM2271" s="86">
        <v>621832</v>
      </c>
    </row>
    <row r="2272" spans="13:39" ht="30.75" hidden="1" thickBot="1">
      <c r="M2272" s="153">
        <v>3200000</v>
      </c>
      <c r="N2272" s="227">
        <v>401204</v>
      </c>
      <c r="O2272" s="155" t="s">
        <v>244</v>
      </c>
      <c r="P2272" s="155" t="s">
        <v>245</v>
      </c>
      <c r="Q2272" s="150">
        <v>189</v>
      </c>
      <c r="R2272" s="155" t="s">
        <v>625</v>
      </c>
      <c r="S2272" s="142" t="s">
        <v>17</v>
      </c>
      <c r="T2272" s="158">
        <v>42743</v>
      </c>
      <c r="U2272" s="172">
        <f t="shared" si="118"/>
        <v>2017</v>
      </c>
      <c r="V2272" s="172">
        <f t="shared" si="119"/>
        <v>1</v>
      </c>
      <c r="W2272" s="162" t="s">
        <v>626</v>
      </c>
      <c r="X2272" t="s">
        <v>894</v>
      </c>
      <c r="Y2272">
        <v>2</v>
      </c>
      <c r="Z2272" s="13"/>
      <c r="AA2272" s="13">
        <f t="shared" si="117"/>
        <v>3200000</v>
      </c>
      <c r="AE2272" s="42"/>
      <c r="AL2272" s="94" t="s">
        <v>819</v>
      </c>
      <c r="AM2272" s="86">
        <v>622099</v>
      </c>
    </row>
    <row r="2273" spans="13:39" ht="30.75" hidden="1" thickBot="1">
      <c r="M2273" s="153">
        <v>3272000</v>
      </c>
      <c r="N2273" s="227">
        <v>401204</v>
      </c>
      <c r="O2273" s="155" t="s">
        <v>244</v>
      </c>
      <c r="P2273" s="155" t="s">
        <v>245</v>
      </c>
      <c r="Q2273" s="150">
        <v>3</v>
      </c>
      <c r="R2273" s="155" t="s">
        <v>625</v>
      </c>
      <c r="S2273" s="142" t="s">
        <v>17</v>
      </c>
      <c r="T2273" s="158">
        <v>42743</v>
      </c>
      <c r="U2273" s="172">
        <f t="shared" si="118"/>
        <v>2017</v>
      </c>
      <c r="V2273" s="172">
        <f t="shared" si="119"/>
        <v>1</v>
      </c>
      <c r="W2273" s="162" t="s">
        <v>626</v>
      </c>
      <c r="X2273" t="s">
        <v>894</v>
      </c>
      <c r="Y2273">
        <v>2</v>
      </c>
      <c r="Z2273" s="13"/>
      <c r="AA2273" s="13">
        <f t="shared" si="117"/>
        <v>3272000</v>
      </c>
      <c r="AE2273" s="42"/>
      <c r="AL2273" s="88" t="s">
        <v>819</v>
      </c>
      <c r="AM2273" s="86">
        <v>622825</v>
      </c>
    </row>
    <row r="2274" spans="13:39" ht="30.75" hidden="1" thickBot="1">
      <c r="M2274" s="153">
        <v>3272000</v>
      </c>
      <c r="N2274" s="227">
        <v>401204</v>
      </c>
      <c r="O2274" s="155" t="s">
        <v>244</v>
      </c>
      <c r="P2274" s="155" t="s">
        <v>245</v>
      </c>
      <c r="Q2274" s="150">
        <v>188</v>
      </c>
      <c r="R2274" s="155" t="s">
        <v>625</v>
      </c>
      <c r="S2274" s="142" t="s">
        <v>17</v>
      </c>
      <c r="T2274" s="158">
        <v>42743</v>
      </c>
      <c r="U2274" s="172">
        <f t="shared" si="118"/>
        <v>2017</v>
      </c>
      <c r="V2274" s="172">
        <f t="shared" si="119"/>
        <v>1</v>
      </c>
      <c r="W2274" s="162" t="s">
        <v>626</v>
      </c>
      <c r="X2274" t="s">
        <v>894</v>
      </c>
      <c r="Y2274">
        <v>2</v>
      </c>
      <c r="Z2274" s="13"/>
      <c r="AA2274" s="13">
        <f t="shared" si="117"/>
        <v>3272000</v>
      </c>
      <c r="AE2274" s="42"/>
      <c r="AL2274" s="94" t="s">
        <v>819</v>
      </c>
      <c r="AM2274" s="86">
        <v>623540</v>
      </c>
    </row>
    <row r="2275" spans="13:39" ht="15.75" hidden="1" thickBot="1">
      <c r="M2275" s="153">
        <v>6885990</v>
      </c>
      <c r="N2275" s="229" t="s">
        <v>812</v>
      </c>
      <c r="O2275" s="155" t="s">
        <v>248</v>
      </c>
      <c r="P2275" s="155" t="s">
        <v>245</v>
      </c>
      <c r="Q2275" s="150">
        <v>11</v>
      </c>
      <c r="R2275" s="155" t="s">
        <v>17</v>
      </c>
      <c r="S2275" s="142" t="s">
        <v>17</v>
      </c>
      <c r="T2275" s="158">
        <v>42078</v>
      </c>
      <c r="U2275" s="172">
        <f t="shared" si="118"/>
        <v>2015</v>
      </c>
      <c r="V2275" s="172">
        <f t="shared" si="119"/>
        <v>3</v>
      </c>
      <c r="W2275" s="162" t="s">
        <v>634</v>
      </c>
      <c r="X2275" t="s">
        <v>894</v>
      </c>
      <c r="Y2275">
        <v>11.47</v>
      </c>
      <c r="Z2275" s="13">
        <v>5000</v>
      </c>
      <c r="AA2275" s="13">
        <f t="shared" si="117"/>
        <v>6885990</v>
      </c>
      <c r="AE2275" s="42"/>
      <c r="AL2275" s="88" t="s">
        <v>819</v>
      </c>
      <c r="AM2275" s="86">
        <v>625579</v>
      </c>
    </row>
    <row r="2276" spans="13:39" ht="15.75" hidden="1" thickBot="1">
      <c r="M2276" s="153">
        <v>9170000</v>
      </c>
      <c r="N2276" s="227">
        <v>1860754</v>
      </c>
      <c r="O2276" s="155" t="s">
        <v>248</v>
      </c>
      <c r="P2276" s="155" t="s">
        <v>245</v>
      </c>
      <c r="Q2276" s="150">
        <v>8</v>
      </c>
      <c r="R2276" s="155" t="s">
        <v>632</v>
      </c>
      <c r="S2276" s="142" t="s">
        <v>17</v>
      </c>
      <c r="T2276" s="158">
        <v>42151</v>
      </c>
      <c r="U2276" s="172">
        <f t="shared" si="118"/>
        <v>2015</v>
      </c>
      <c r="V2276" s="172">
        <f t="shared" si="119"/>
        <v>5</v>
      </c>
      <c r="W2276" s="162" t="s">
        <v>633</v>
      </c>
      <c r="X2276" t="s">
        <v>892</v>
      </c>
      <c r="Y2276">
        <v>14</v>
      </c>
      <c r="Z2276" s="13">
        <v>1498</v>
      </c>
      <c r="AA2276" s="13">
        <f t="shared" si="117"/>
        <v>9170000</v>
      </c>
      <c r="AE2276" s="42"/>
      <c r="AL2276" s="88" t="s">
        <v>819</v>
      </c>
      <c r="AM2276" s="86">
        <v>628124</v>
      </c>
    </row>
    <row r="2277" spans="13:39" ht="15.75" hidden="1" thickBot="1">
      <c r="M2277" s="153">
        <v>9170000</v>
      </c>
      <c r="N2277" s="227">
        <v>1860754</v>
      </c>
      <c r="O2277" s="155" t="s">
        <v>248</v>
      </c>
      <c r="P2277" s="155" t="s">
        <v>245</v>
      </c>
      <c r="Q2277" s="150">
        <v>9</v>
      </c>
      <c r="R2277" s="155" t="s">
        <v>632</v>
      </c>
      <c r="S2277" s="142" t="s">
        <v>17</v>
      </c>
      <c r="T2277" s="158">
        <v>42151</v>
      </c>
      <c r="U2277" s="172">
        <f t="shared" si="118"/>
        <v>2015</v>
      </c>
      <c r="V2277" s="172">
        <f t="shared" si="119"/>
        <v>5</v>
      </c>
      <c r="W2277" s="162" t="s">
        <v>633</v>
      </c>
      <c r="X2277" t="s">
        <v>892</v>
      </c>
      <c r="Y2277">
        <v>14</v>
      </c>
      <c r="Z2277" s="13">
        <v>1552</v>
      </c>
      <c r="AA2277" s="13">
        <f t="shared" si="117"/>
        <v>9170000</v>
      </c>
      <c r="AE2277" s="42"/>
      <c r="AL2277" s="88" t="s">
        <v>819</v>
      </c>
      <c r="AM2277" s="86">
        <v>628124</v>
      </c>
    </row>
    <row r="2278" spans="13:39" ht="15.75" hidden="1" thickBot="1">
      <c r="M2278" s="153">
        <v>9706186</v>
      </c>
      <c r="N2278" s="227">
        <v>1860754</v>
      </c>
      <c r="O2278" s="155" t="s">
        <v>248</v>
      </c>
      <c r="P2278" s="155" t="s">
        <v>245</v>
      </c>
      <c r="Q2278" s="150">
        <v>7</v>
      </c>
      <c r="R2278" s="155" t="s">
        <v>632</v>
      </c>
      <c r="S2278" s="142" t="s">
        <v>17</v>
      </c>
      <c r="T2278" s="158">
        <v>42151</v>
      </c>
      <c r="U2278" s="172">
        <f t="shared" si="118"/>
        <v>2015</v>
      </c>
      <c r="V2278" s="172">
        <f t="shared" si="119"/>
        <v>5</v>
      </c>
      <c r="W2278" s="162" t="s">
        <v>633</v>
      </c>
      <c r="X2278" t="s">
        <v>892</v>
      </c>
      <c r="Y2278">
        <v>14</v>
      </c>
      <c r="Z2278" s="13">
        <v>1509</v>
      </c>
      <c r="AA2278" s="13">
        <f t="shared" si="117"/>
        <v>9706186</v>
      </c>
      <c r="AE2278" s="42"/>
      <c r="AL2278" s="94" t="s">
        <v>819</v>
      </c>
      <c r="AM2278" s="86">
        <v>631780</v>
      </c>
    </row>
    <row r="2279" spans="13:39" ht="15.75" hidden="1" thickBot="1">
      <c r="M2279" s="153">
        <v>10164000</v>
      </c>
      <c r="N2279" s="227">
        <v>1860754</v>
      </c>
      <c r="O2279" s="155" t="s">
        <v>248</v>
      </c>
      <c r="P2279" s="155" t="s">
        <v>245</v>
      </c>
      <c r="Q2279" s="150">
        <v>6</v>
      </c>
      <c r="R2279" s="155" t="s">
        <v>632</v>
      </c>
      <c r="S2279" s="142" t="s">
        <v>17</v>
      </c>
      <c r="T2279" s="158">
        <v>42151</v>
      </c>
      <c r="U2279" s="172">
        <f t="shared" si="118"/>
        <v>2015</v>
      </c>
      <c r="V2279" s="172">
        <f t="shared" si="119"/>
        <v>5</v>
      </c>
      <c r="W2279" s="162" t="s">
        <v>633</v>
      </c>
      <c r="X2279" t="s">
        <v>892</v>
      </c>
      <c r="Y2279">
        <v>14</v>
      </c>
      <c r="Z2279" s="13">
        <v>1666</v>
      </c>
      <c r="AA2279" s="13">
        <f t="shared" si="117"/>
        <v>10164000</v>
      </c>
      <c r="AE2279" s="42"/>
      <c r="AL2279" s="94" t="s">
        <v>819</v>
      </c>
      <c r="AM2279" s="86">
        <v>636906</v>
      </c>
    </row>
    <row r="2280" spans="13:39" ht="15.75" hidden="1" thickBot="1">
      <c r="M2280" s="153">
        <v>11632000</v>
      </c>
      <c r="N2280" s="227">
        <v>2126576</v>
      </c>
      <c r="O2280" s="155" t="s">
        <v>248</v>
      </c>
      <c r="P2280" s="155" t="s">
        <v>245</v>
      </c>
      <c r="Q2280" s="150">
        <v>2</v>
      </c>
      <c r="R2280" s="155" t="s">
        <v>632</v>
      </c>
      <c r="S2280" s="142" t="s">
        <v>17</v>
      </c>
      <c r="T2280" s="158">
        <v>42151</v>
      </c>
      <c r="U2280" s="172">
        <f t="shared" si="118"/>
        <v>2015</v>
      </c>
      <c r="V2280" s="172">
        <f t="shared" si="119"/>
        <v>5</v>
      </c>
      <c r="W2280" s="162" t="s">
        <v>633</v>
      </c>
      <c r="X2280" t="s">
        <v>892</v>
      </c>
      <c r="Y2280">
        <v>16</v>
      </c>
      <c r="Z2280" s="13">
        <v>1788</v>
      </c>
      <c r="AA2280" s="13">
        <f t="shared" si="117"/>
        <v>11632000</v>
      </c>
      <c r="AE2280" s="42"/>
      <c r="AL2280" s="88" t="s">
        <v>819</v>
      </c>
      <c r="AM2280" s="86">
        <v>637339</v>
      </c>
    </row>
    <row r="2281" spans="13:39" ht="15.75" hidden="1" thickBot="1">
      <c r="M2281" s="153">
        <v>12432000</v>
      </c>
      <c r="N2281" s="227">
        <v>2126576</v>
      </c>
      <c r="O2281" s="155" t="s">
        <v>248</v>
      </c>
      <c r="P2281" s="155" t="s">
        <v>245</v>
      </c>
      <c r="Q2281" s="150">
        <v>3</v>
      </c>
      <c r="R2281" s="155" t="s">
        <v>632</v>
      </c>
      <c r="S2281" s="142" t="s">
        <v>17</v>
      </c>
      <c r="T2281" s="158">
        <v>42151</v>
      </c>
      <c r="U2281" s="172">
        <f t="shared" si="118"/>
        <v>2015</v>
      </c>
      <c r="V2281" s="172">
        <f t="shared" si="119"/>
        <v>5</v>
      </c>
      <c r="W2281" s="162" t="s">
        <v>633</v>
      </c>
      <c r="X2281" t="s">
        <v>892</v>
      </c>
      <c r="Y2281">
        <v>16</v>
      </c>
      <c r="Z2281" s="13">
        <v>1868</v>
      </c>
      <c r="AA2281" s="13">
        <f t="shared" si="117"/>
        <v>12432000</v>
      </c>
      <c r="AE2281" s="42"/>
      <c r="AL2281" s="88" t="s">
        <v>819</v>
      </c>
      <c r="AM2281" s="86">
        <v>637339</v>
      </c>
    </row>
    <row r="2282" spans="13:39" ht="15.75" hidden="1" thickBot="1">
      <c r="M2282" s="153">
        <v>26000000</v>
      </c>
      <c r="N2282" s="227">
        <v>22050726</v>
      </c>
      <c r="O2282" s="155" t="s">
        <v>248</v>
      </c>
      <c r="P2282" s="155" t="s">
        <v>245</v>
      </c>
      <c r="Q2282" s="150">
        <v>30</v>
      </c>
      <c r="R2282" s="155" t="s">
        <v>623</v>
      </c>
      <c r="S2282" s="142" t="s">
        <v>17</v>
      </c>
      <c r="T2282" s="158">
        <v>42442</v>
      </c>
      <c r="U2282" s="172">
        <f t="shared" si="118"/>
        <v>2016</v>
      </c>
      <c r="V2282" s="172">
        <f t="shared" si="119"/>
        <v>3</v>
      </c>
      <c r="W2282" s="162" t="s">
        <v>629</v>
      </c>
      <c r="X2282" t="s">
        <v>892</v>
      </c>
      <c r="Y2282">
        <v>250</v>
      </c>
      <c r="Z2282" s="13">
        <v>3401</v>
      </c>
      <c r="AA2282" s="13">
        <f t="shared" si="117"/>
        <v>26000000</v>
      </c>
      <c r="AE2282" s="42"/>
      <c r="AL2282" s="94" t="s">
        <v>819</v>
      </c>
      <c r="AM2282" s="86">
        <v>6376077</v>
      </c>
    </row>
    <row r="2283" spans="13:39" ht="15.75" hidden="1" thickBot="1">
      <c r="M2283" s="153">
        <v>42003990</v>
      </c>
      <c r="N2283" s="229" t="s">
        <v>812</v>
      </c>
      <c r="O2283" s="155" t="s">
        <v>248</v>
      </c>
      <c r="P2283" s="155" t="s">
        <v>245</v>
      </c>
      <c r="Q2283" s="150">
        <v>9</v>
      </c>
      <c r="R2283" s="155" t="s">
        <v>17</v>
      </c>
      <c r="S2283" s="142" t="s">
        <v>17</v>
      </c>
      <c r="T2283" s="158">
        <v>42078</v>
      </c>
      <c r="U2283" s="172">
        <f t="shared" si="118"/>
        <v>2015</v>
      </c>
      <c r="V2283" s="172">
        <f t="shared" si="119"/>
        <v>3</v>
      </c>
      <c r="W2283" s="162" t="s">
        <v>634</v>
      </c>
      <c r="X2283" t="s">
        <v>894</v>
      </c>
      <c r="Y2283">
        <v>66</v>
      </c>
      <c r="Z2283" s="13">
        <v>1550</v>
      </c>
      <c r="AA2283" s="13">
        <f t="shared" si="117"/>
        <v>42003990</v>
      </c>
      <c r="AE2283" s="42"/>
      <c r="AL2283" s="94" t="s">
        <v>819</v>
      </c>
      <c r="AM2283" s="86">
        <v>6376077</v>
      </c>
    </row>
    <row r="2284" spans="13:39" ht="15.75" hidden="1" thickBot="1">
      <c r="M2284" s="146" t="s">
        <v>917</v>
      </c>
      <c r="N2284" s="228">
        <v>21098691</v>
      </c>
      <c r="O2284" s="146" t="s">
        <v>338</v>
      </c>
      <c r="P2284" s="146" t="s">
        <v>245</v>
      </c>
      <c r="Q2284" s="147" t="s">
        <v>254</v>
      </c>
      <c r="R2284" s="146" t="s">
        <v>17</v>
      </c>
      <c r="S2284" s="142" t="s">
        <v>17</v>
      </c>
      <c r="T2284" s="156">
        <v>42871</v>
      </c>
      <c r="U2284" s="172">
        <f t="shared" si="118"/>
        <v>2017</v>
      </c>
      <c r="V2284" s="172">
        <f t="shared" si="119"/>
        <v>5</v>
      </c>
      <c r="W2284" s="148" t="s">
        <v>918</v>
      </c>
      <c r="X2284" s="41"/>
      <c r="Y2284" s="41"/>
      <c r="Z2284" s="41"/>
      <c r="AA2284" s="13" t="str">
        <f t="shared" si="117"/>
        <v>אין הצעות למתחם זה</v>
      </c>
      <c r="AE2284" s="42"/>
      <c r="AL2284" s="88" t="s">
        <v>819</v>
      </c>
      <c r="AM2284" s="86">
        <v>638476</v>
      </c>
    </row>
    <row r="2285" spans="13:39" ht="15.75" hidden="1" thickBot="1">
      <c r="M2285" s="149">
        <v>8888</v>
      </c>
      <c r="N2285" s="228">
        <v>15714565</v>
      </c>
      <c r="O2285" s="146" t="s">
        <v>248</v>
      </c>
      <c r="P2285" s="146" t="s">
        <v>251</v>
      </c>
      <c r="Q2285" s="150">
        <v>14</v>
      </c>
      <c r="R2285" s="146" t="s">
        <v>938</v>
      </c>
      <c r="S2285" s="160" t="s">
        <v>17</v>
      </c>
      <c r="T2285" s="151">
        <v>42952</v>
      </c>
      <c r="U2285" s="172">
        <f t="shared" si="118"/>
        <v>2017</v>
      </c>
      <c r="V2285" s="172">
        <f t="shared" si="119"/>
        <v>8</v>
      </c>
      <c r="W2285" s="148" t="s">
        <v>939</v>
      </c>
      <c r="X2285" t="s">
        <v>892</v>
      </c>
      <c r="Y2285">
        <v>108</v>
      </c>
      <c r="Z2285">
        <v>9665</v>
      </c>
      <c r="AA2285" s="13">
        <f t="shared" si="117"/>
        <v>17992800</v>
      </c>
      <c r="AE2285" s="42"/>
      <c r="AL2285" s="94" t="s">
        <v>819</v>
      </c>
      <c r="AM2285" s="86">
        <v>640324</v>
      </c>
    </row>
    <row r="2286" spans="13:39" ht="26.25" hidden="1" thickBot="1">
      <c r="M2286" s="149">
        <v>3500777</v>
      </c>
      <c r="N2286" s="228">
        <v>404353</v>
      </c>
      <c r="O2286" s="146" t="s">
        <v>244</v>
      </c>
      <c r="P2286" s="146" t="s">
        <v>245</v>
      </c>
      <c r="Q2286" s="150">
        <v>177</v>
      </c>
      <c r="R2286" s="146" t="s">
        <v>625</v>
      </c>
      <c r="S2286" s="160" t="s">
        <v>17</v>
      </c>
      <c r="T2286" s="151">
        <v>42921</v>
      </c>
      <c r="U2286" s="172">
        <f t="shared" si="118"/>
        <v>2017</v>
      </c>
      <c r="V2286" s="172">
        <f t="shared" si="119"/>
        <v>7</v>
      </c>
      <c r="W2286" s="148" t="s">
        <v>947</v>
      </c>
      <c r="AA2286" s="13">
        <f t="shared" si="117"/>
        <v>3500777</v>
      </c>
      <c r="AE2286" s="42"/>
      <c r="AL2286" s="94" t="s">
        <v>819</v>
      </c>
      <c r="AM2286" s="86">
        <v>643475</v>
      </c>
    </row>
    <row r="2287" spans="13:39" ht="15.75" hidden="1" thickBot="1">
      <c r="M2287" s="149">
        <v>10069</v>
      </c>
      <c r="N2287" s="228">
        <v>21663706</v>
      </c>
      <c r="O2287" s="146" t="s">
        <v>248</v>
      </c>
      <c r="P2287" s="146" t="s">
        <v>251</v>
      </c>
      <c r="Q2287" s="147" t="s">
        <v>254</v>
      </c>
      <c r="R2287" s="146" t="s">
        <v>948</v>
      </c>
      <c r="S2287" s="160" t="s">
        <v>17</v>
      </c>
      <c r="T2287" s="165">
        <v>42849</v>
      </c>
      <c r="U2287" s="172">
        <f t="shared" si="118"/>
        <v>2017</v>
      </c>
      <c r="V2287" s="172">
        <f t="shared" si="119"/>
        <v>4</v>
      </c>
      <c r="W2287" s="148" t="s">
        <v>949</v>
      </c>
      <c r="X2287" t="s">
        <v>892</v>
      </c>
      <c r="Y2287">
        <v>144</v>
      </c>
      <c r="AA2287" s="13">
        <f t="shared" si="117"/>
        <v>36745200</v>
      </c>
      <c r="AE2287" s="42"/>
      <c r="AL2287" s="94" t="s">
        <v>819</v>
      </c>
      <c r="AM2287" s="86">
        <v>644879</v>
      </c>
    </row>
    <row r="2288" spans="13:39" ht="15.75" hidden="1" thickBot="1">
      <c r="M2288" s="149">
        <v>9577</v>
      </c>
      <c r="N2288" s="228">
        <v>17370248</v>
      </c>
      <c r="O2288" s="146" t="s">
        <v>248</v>
      </c>
      <c r="P2288" s="146" t="s">
        <v>251</v>
      </c>
      <c r="Q2288" s="147" t="s">
        <v>256</v>
      </c>
      <c r="R2288" s="146" t="s">
        <v>948</v>
      </c>
      <c r="S2288" s="160" t="s">
        <v>17</v>
      </c>
      <c r="T2288" s="165">
        <v>42849</v>
      </c>
      <c r="U2288" s="172">
        <f t="shared" si="118"/>
        <v>2017</v>
      </c>
      <c r="V2288" s="172">
        <f t="shared" si="119"/>
        <v>4</v>
      </c>
      <c r="W2288" s="148" t="s">
        <v>949</v>
      </c>
      <c r="X2288" t="s">
        <v>892</v>
      </c>
      <c r="Y2288">
        <v>118</v>
      </c>
      <c r="AA2288" s="13">
        <f t="shared" si="117"/>
        <v>25756450</v>
      </c>
      <c r="AE2288" s="42"/>
      <c r="AL2288" s="88" t="s">
        <v>819</v>
      </c>
      <c r="AM2288" s="86">
        <v>645522</v>
      </c>
    </row>
    <row r="2289" spans="13:39" ht="15.75" hidden="1" thickBot="1">
      <c r="M2289" s="149">
        <v>9354</v>
      </c>
      <c r="N2289" s="228">
        <v>21006736</v>
      </c>
      <c r="O2289" s="146" t="s">
        <v>248</v>
      </c>
      <c r="P2289" s="146" t="s">
        <v>251</v>
      </c>
      <c r="Q2289" s="147" t="s">
        <v>257</v>
      </c>
      <c r="R2289" s="146" t="s">
        <v>948</v>
      </c>
      <c r="S2289" s="160" t="s">
        <v>17</v>
      </c>
      <c r="T2289" s="165">
        <v>42849</v>
      </c>
      <c r="U2289" s="172">
        <f t="shared" si="118"/>
        <v>2017</v>
      </c>
      <c r="V2289" s="172">
        <f t="shared" si="119"/>
        <v>4</v>
      </c>
      <c r="W2289" s="148" t="s">
        <v>949</v>
      </c>
      <c r="X2289" t="s">
        <v>892</v>
      </c>
      <c r="Y2289">
        <v>144</v>
      </c>
      <c r="AA2289" s="13">
        <f t="shared" si="117"/>
        <v>29023200</v>
      </c>
      <c r="AE2289" s="42"/>
      <c r="AL2289" s="88" t="s">
        <v>819</v>
      </c>
      <c r="AM2289" s="86">
        <v>645522</v>
      </c>
    </row>
    <row r="2290" spans="13:39" ht="15.75" hidden="1" thickBot="1">
      <c r="M2290" s="149">
        <v>9629</v>
      </c>
      <c r="N2290" s="228">
        <v>21826137</v>
      </c>
      <c r="O2290" s="146" t="s">
        <v>248</v>
      </c>
      <c r="P2290" s="146" t="s">
        <v>251</v>
      </c>
      <c r="Q2290" s="147" t="s">
        <v>258</v>
      </c>
      <c r="R2290" s="146" t="s">
        <v>948</v>
      </c>
      <c r="S2290" s="160" t="s">
        <v>17</v>
      </c>
      <c r="T2290" s="165">
        <v>42849</v>
      </c>
      <c r="U2290" s="172">
        <f t="shared" si="118"/>
        <v>2017</v>
      </c>
      <c r="V2290" s="172">
        <f t="shared" si="119"/>
        <v>4</v>
      </c>
      <c r="W2290" s="148" t="s">
        <v>949</v>
      </c>
      <c r="X2290" t="s">
        <v>892</v>
      </c>
      <c r="Y2290">
        <v>144</v>
      </c>
      <c r="AA2290" s="13">
        <f t="shared" si="117"/>
        <v>31993200</v>
      </c>
      <c r="AE2290" s="42"/>
      <c r="AL2290" s="88" t="s">
        <v>819</v>
      </c>
      <c r="AM2290" s="86">
        <v>647585</v>
      </c>
    </row>
    <row r="2291" spans="13:39" ht="15.75" hidden="1" thickBot="1">
      <c r="M2291" s="149">
        <v>10100</v>
      </c>
      <c r="N2291" s="228">
        <v>17810821</v>
      </c>
      <c r="O2291" s="146" t="s">
        <v>248</v>
      </c>
      <c r="P2291" s="146" t="s">
        <v>251</v>
      </c>
      <c r="Q2291" s="147" t="s">
        <v>259</v>
      </c>
      <c r="R2291" s="146" t="s">
        <v>948</v>
      </c>
      <c r="S2291" s="160" t="s">
        <v>17</v>
      </c>
      <c r="T2291" s="165">
        <v>42849</v>
      </c>
      <c r="U2291" s="172">
        <f t="shared" si="118"/>
        <v>2017</v>
      </c>
      <c r="V2291" s="172">
        <f t="shared" si="119"/>
        <v>4</v>
      </c>
      <c r="W2291" s="148" t="s">
        <v>949</v>
      </c>
      <c r="X2291" t="s">
        <v>892</v>
      </c>
      <c r="Y2291">
        <v>120</v>
      </c>
      <c r="AA2291" s="13">
        <f t="shared" si="117"/>
        <v>30900000</v>
      </c>
      <c r="AE2291" s="42"/>
      <c r="AL2291" s="94" t="s">
        <v>819</v>
      </c>
      <c r="AM2291" s="86">
        <v>654562</v>
      </c>
    </row>
    <row r="2292" spans="13:39" ht="15.75" hidden="1" thickBot="1">
      <c r="M2292" s="149">
        <v>10478</v>
      </c>
      <c r="N2292" s="228">
        <v>11648666</v>
      </c>
      <c r="O2292" s="146" t="s">
        <v>248</v>
      </c>
      <c r="P2292" s="146" t="s">
        <v>251</v>
      </c>
      <c r="Q2292" s="147" t="s">
        <v>260</v>
      </c>
      <c r="R2292" s="146" t="s">
        <v>948</v>
      </c>
      <c r="S2292" s="160" t="s">
        <v>17</v>
      </c>
      <c r="T2292" s="165">
        <v>42849</v>
      </c>
      <c r="U2292" s="172">
        <f t="shared" si="118"/>
        <v>2017</v>
      </c>
      <c r="V2292" s="172">
        <f t="shared" si="119"/>
        <v>4</v>
      </c>
      <c r="W2292" s="148" t="s">
        <v>949</v>
      </c>
      <c r="X2292" t="s">
        <v>892</v>
      </c>
      <c r="Y2292">
        <v>72</v>
      </c>
      <c r="Z2292">
        <v>3909</v>
      </c>
      <c r="AA2292" s="13">
        <f t="shared" si="117"/>
        <v>20581200</v>
      </c>
      <c r="AE2292" s="42"/>
      <c r="AL2292" s="88" t="s">
        <v>819</v>
      </c>
      <c r="AM2292" s="86">
        <v>65653611</v>
      </c>
    </row>
    <row r="2293" spans="13:39" ht="15.75" hidden="1" thickBot="1">
      <c r="M2293" s="149">
        <v>9700</v>
      </c>
      <c r="N2293" s="228">
        <v>10528465</v>
      </c>
      <c r="O2293" s="146" t="s">
        <v>248</v>
      </c>
      <c r="P2293" s="146" t="s">
        <v>251</v>
      </c>
      <c r="Q2293" s="147" t="s">
        <v>261</v>
      </c>
      <c r="R2293" s="146" t="s">
        <v>948</v>
      </c>
      <c r="S2293" s="160" t="s">
        <v>17</v>
      </c>
      <c r="T2293" s="165">
        <v>42849</v>
      </c>
      <c r="U2293" s="172">
        <f t="shared" si="118"/>
        <v>2017</v>
      </c>
      <c r="V2293" s="172">
        <f t="shared" si="119"/>
        <v>4</v>
      </c>
      <c r="W2293" s="148" t="s">
        <v>949</v>
      </c>
      <c r="X2293" t="s">
        <v>892</v>
      </c>
      <c r="Y2293">
        <v>75</v>
      </c>
      <c r="Z2293">
        <v>2520</v>
      </c>
      <c r="AA2293" s="13">
        <f t="shared" si="117"/>
        <v>17062500</v>
      </c>
      <c r="AE2293" s="42"/>
      <c r="AL2293" s="88" t="s">
        <v>819</v>
      </c>
      <c r="AM2293" s="86">
        <v>661958</v>
      </c>
    </row>
    <row r="2294" spans="13:39" ht="15.75" hidden="1" thickBot="1">
      <c r="M2294" s="149">
        <v>9948</v>
      </c>
      <c r="N2294" s="228">
        <v>16526888</v>
      </c>
      <c r="O2294" s="146" t="s">
        <v>248</v>
      </c>
      <c r="P2294" s="146" t="s">
        <v>251</v>
      </c>
      <c r="Q2294" s="147" t="s">
        <v>262</v>
      </c>
      <c r="R2294" s="146" t="s">
        <v>948</v>
      </c>
      <c r="S2294" s="160" t="s">
        <v>17</v>
      </c>
      <c r="T2294" s="165">
        <v>42849</v>
      </c>
      <c r="U2294" s="172">
        <f t="shared" si="118"/>
        <v>2017</v>
      </c>
      <c r="V2294" s="172">
        <f t="shared" si="119"/>
        <v>4</v>
      </c>
      <c r="W2294" s="148" t="s">
        <v>949</v>
      </c>
      <c r="X2294" t="s">
        <v>892</v>
      </c>
      <c r="Y2294">
        <v>120</v>
      </c>
      <c r="AA2294" s="13">
        <f t="shared" si="117"/>
        <v>29532000</v>
      </c>
      <c r="AE2294" s="42"/>
      <c r="AL2294" s="94" t="s">
        <v>819</v>
      </c>
      <c r="AM2294" s="86">
        <v>663104</v>
      </c>
    </row>
    <row r="2295" spans="13:39" ht="15.75" hidden="1" thickBot="1">
      <c r="M2295" s="149">
        <v>9705</v>
      </c>
      <c r="N2295" s="228">
        <v>24606174</v>
      </c>
      <c r="O2295" s="146" t="s">
        <v>248</v>
      </c>
      <c r="P2295" s="146" t="s">
        <v>251</v>
      </c>
      <c r="Q2295" s="147" t="s">
        <v>355</v>
      </c>
      <c r="R2295" s="146" t="s">
        <v>948</v>
      </c>
      <c r="S2295" s="160" t="s">
        <v>17</v>
      </c>
      <c r="T2295" s="165">
        <v>42849</v>
      </c>
      <c r="U2295" s="172">
        <f t="shared" si="118"/>
        <v>2017</v>
      </c>
      <c r="V2295" s="172">
        <f t="shared" si="119"/>
        <v>4</v>
      </c>
      <c r="W2295" s="148" t="s">
        <v>949</v>
      </c>
      <c r="X2295" t="s">
        <v>892</v>
      </c>
      <c r="Y2295">
        <v>180</v>
      </c>
      <c r="AA2295" s="13">
        <f t="shared" si="117"/>
        <v>41017500</v>
      </c>
      <c r="AE2295" s="42"/>
      <c r="AL2295" s="94" t="s">
        <v>819</v>
      </c>
      <c r="AM2295" s="86">
        <v>6660411</v>
      </c>
    </row>
    <row r="2296" spans="13:39" ht="15.75" hidden="1" thickBot="1">
      <c r="M2296" s="149">
        <v>9455</v>
      </c>
      <c r="N2296" s="228">
        <v>12935145</v>
      </c>
      <c r="O2296" s="146" t="s">
        <v>248</v>
      </c>
      <c r="P2296" s="146" t="s">
        <v>251</v>
      </c>
      <c r="Q2296" s="147" t="s">
        <v>356</v>
      </c>
      <c r="R2296" s="146" t="s">
        <v>948</v>
      </c>
      <c r="S2296" s="160" t="s">
        <v>17</v>
      </c>
      <c r="T2296" s="165">
        <v>42849</v>
      </c>
      <c r="U2296" s="172">
        <f t="shared" si="118"/>
        <v>2017</v>
      </c>
      <c r="V2296" s="172">
        <f t="shared" si="119"/>
        <v>4</v>
      </c>
      <c r="W2296" s="148" t="s">
        <v>949</v>
      </c>
      <c r="X2296" t="s">
        <v>892</v>
      </c>
      <c r="Y2296">
        <v>92</v>
      </c>
      <c r="AA2296" s="13">
        <f t="shared" si="117"/>
        <v>19239500</v>
      </c>
      <c r="AE2296" s="42"/>
      <c r="AL2296" s="88" t="s">
        <v>819</v>
      </c>
      <c r="AM2296" s="86">
        <v>669462</v>
      </c>
    </row>
    <row r="2297" spans="13:39" ht="15.75" hidden="1" thickBot="1">
      <c r="M2297" s="149">
        <v>9555</v>
      </c>
      <c r="N2297" s="228">
        <v>13385194</v>
      </c>
      <c r="O2297" s="146" t="s">
        <v>248</v>
      </c>
      <c r="P2297" s="146" t="s">
        <v>251</v>
      </c>
      <c r="Q2297" s="147" t="s">
        <v>357</v>
      </c>
      <c r="R2297" s="146" t="s">
        <v>948</v>
      </c>
      <c r="S2297" s="160" t="s">
        <v>17</v>
      </c>
      <c r="T2297" s="165">
        <v>42849</v>
      </c>
      <c r="U2297" s="172">
        <f t="shared" si="118"/>
        <v>2017</v>
      </c>
      <c r="V2297" s="172">
        <f t="shared" si="119"/>
        <v>4</v>
      </c>
      <c r="W2297" s="148" t="s">
        <v>949</v>
      </c>
      <c r="X2297" t="s">
        <v>892</v>
      </c>
      <c r="Y2297">
        <v>92</v>
      </c>
      <c r="AA2297" s="13">
        <f t="shared" si="117"/>
        <v>19929500</v>
      </c>
      <c r="AE2297" s="42"/>
      <c r="AL2297" s="94" t="s">
        <v>819</v>
      </c>
      <c r="AM2297" s="86">
        <v>671648</v>
      </c>
    </row>
    <row r="2298" spans="13:39" ht="15.75" hidden="1" thickBot="1">
      <c r="M2298" s="149">
        <v>10126</v>
      </c>
      <c r="N2298" s="228">
        <v>26868268</v>
      </c>
      <c r="O2298" s="146" t="s">
        <v>248</v>
      </c>
      <c r="P2298" s="146" t="s">
        <v>251</v>
      </c>
      <c r="Q2298" s="147" t="s">
        <v>358</v>
      </c>
      <c r="R2298" s="146" t="s">
        <v>948</v>
      </c>
      <c r="S2298" s="160" t="s">
        <v>17</v>
      </c>
      <c r="T2298" s="165">
        <v>42849</v>
      </c>
      <c r="U2298" s="172">
        <f t="shared" si="118"/>
        <v>2017</v>
      </c>
      <c r="V2298" s="172">
        <f t="shared" si="119"/>
        <v>4</v>
      </c>
      <c r="W2298" s="148" t="s">
        <v>949</v>
      </c>
      <c r="X2298" t="s">
        <v>892</v>
      </c>
      <c r="Y2298">
        <v>197</v>
      </c>
      <c r="AA2298" s="13">
        <f t="shared" si="117"/>
        <v>51111650</v>
      </c>
      <c r="AE2298" s="42"/>
      <c r="AL2298" s="88" t="s">
        <v>819</v>
      </c>
      <c r="AM2298" s="86">
        <v>674679</v>
      </c>
    </row>
    <row r="2299" spans="13:39" ht="15.75" hidden="1" thickBot="1">
      <c r="M2299" s="149">
        <v>9101</v>
      </c>
      <c r="N2299" s="228">
        <v>12819350</v>
      </c>
      <c r="O2299" s="146" t="s">
        <v>248</v>
      </c>
      <c r="P2299" s="146" t="s">
        <v>251</v>
      </c>
      <c r="Q2299" s="147" t="s">
        <v>359</v>
      </c>
      <c r="R2299" s="146" t="s">
        <v>948</v>
      </c>
      <c r="S2299" s="160" t="s">
        <v>17</v>
      </c>
      <c r="T2299" s="165">
        <v>42849</v>
      </c>
      <c r="U2299" s="172">
        <f t="shared" si="118"/>
        <v>2017</v>
      </c>
      <c r="V2299" s="172">
        <f t="shared" si="119"/>
        <v>4</v>
      </c>
      <c r="W2299" s="148" t="s">
        <v>949</v>
      </c>
      <c r="X2299" t="s">
        <v>892</v>
      </c>
      <c r="Y2299">
        <v>90</v>
      </c>
      <c r="Z2299">
        <v>3203</v>
      </c>
      <c r="AA2299" s="13">
        <f t="shared" si="117"/>
        <v>16431750</v>
      </c>
      <c r="AE2299" s="42"/>
      <c r="AL2299" s="88" t="s">
        <v>819</v>
      </c>
      <c r="AM2299" s="86">
        <v>674679</v>
      </c>
    </row>
    <row r="2300" spans="13:39" ht="15.75" hidden="1" thickBot="1">
      <c r="M2300" s="149">
        <v>10250</v>
      </c>
      <c r="N2300" s="228">
        <v>11034238</v>
      </c>
      <c r="O2300" s="146" t="s">
        <v>248</v>
      </c>
      <c r="P2300" s="146" t="s">
        <v>251</v>
      </c>
      <c r="Q2300" s="147" t="s">
        <v>360</v>
      </c>
      <c r="R2300" s="146" t="s">
        <v>948</v>
      </c>
      <c r="S2300" s="160" t="s">
        <v>17</v>
      </c>
      <c r="T2300" s="165">
        <v>42849</v>
      </c>
      <c r="U2300" s="172">
        <f t="shared" si="118"/>
        <v>2017</v>
      </c>
      <c r="V2300" s="172">
        <f t="shared" si="119"/>
        <v>4</v>
      </c>
      <c r="W2300" s="148" t="s">
        <v>949</v>
      </c>
      <c r="X2300" t="s">
        <v>892</v>
      </c>
      <c r="Y2300">
        <v>48</v>
      </c>
      <c r="AA2300" s="13">
        <f t="shared" si="117"/>
        <v>12900000</v>
      </c>
      <c r="AE2300" s="42"/>
      <c r="AL2300" s="88" t="s">
        <v>819</v>
      </c>
      <c r="AM2300" s="86">
        <v>674679</v>
      </c>
    </row>
    <row r="2301" spans="13:39" ht="15.75" hidden="1" thickBot="1">
      <c r="M2301" s="149">
        <v>9700</v>
      </c>
      <c r="N2301" s="228">
        <v>11289661</v>
      </c>
      <c r="O2301" s="146" t="s">
        <v>248</v>
      </c>
      <c r="P2301" s="146" t="s">
        <v>251</v>
      </c>
      <c r="Q2301" s="147" t="s">
        <v>361</v>
      </c>
      <c r="R2301" s="146" t="s">
        <v>948</v>
      </c>
      <c r="S2301" s="160" t="s">
        <v>17</v>
      </c>
      <c r="T2301" s="165">
        <v>42849</v>
      </c>
      <c r="U2301" s="172">
        <f t="shared" si="118"/>
        <v>2017</v>
      </c>
      <c r="V2301" s="172">
        <f t="shared" si="119"/>
        <v>4</v>
      </c>
      <c r="W2301" s="148" t="s">
        <v>949</v>
      </c>
      <c r="X2301" t="s">
        <v>892</v>
      </c>
      <c r="Y2301">
        <v>72</v>
      </c>
      <c r="Z2301">
        <v>3562</v>
      </c>
      <c r="AA2301" s="13">
        <f t="shared" si="117"/>
        <v>16380000</v>
      </c>
      <c r="AE2301" s="42"/>
      <c r="AL2301" s="88" t="s">
        <v>819</v>
      </c>
      <c r="AM2301" s="86">
        <v>675112</v>
      </c>
    </row>
    <row r="2302" spans="13:39" ht="15.75" hidden="1" thickBot="1">
      <c r="M2302" s="149">
        <v>9790</v>
      </c>
      <c r="N2302" s="228">
        <v>18489515</v>
      </c>
      <c r="O2302" s="146" t="s">
        <v>248</v>
      </c>
      <c r="P2302" s="146" t="s">
        <v>251</v>
      </c>
      <c r="Q2302" s="147" t="s">
        <v>362</v>
      </c>
      <c r="R2302" s="146" t="s">
        <v>948</v>
      </c>
      <c r="S2302" s="160" t="s">
        <v>17</v>
      </c>
      <c r="T2302" s="165">
        <v>42849</v>
      </c>
      <c r="U2302" s="172">
        <f t="shared" si="118"/>
        <v>2017</v>
      </c>
      <c r="V2302" s="172">
        <f t="shared" si="119"/>
        <v>4</v>
      </c>
      <c r="W2302" s="148" t="s">
        <v>949</v>
      </c>
      <c r="X2302" t="s">
        <v>892</v>
      </c>
      <c r="Y2302">
        <v>120</v>
      </c>
      <c r="AA2302" s="13">
        <f t="shared" si="117"/>
        <v>28110000</v>
      </c>
      <c r="AE2302" s="42"/>
      <c r="AL2302" s="94" t="s">
        <v>819</v>
      </c>
      <c r="AM2302" s="86">
        <v>6782655</v>
      </c>
    </row>
    <row r="2303" spans="13:39" ht="15.75" hidden="1" thickBot="1">
      <c r="M2303" s="149">
        <v>9490</v>
      </c>
      <c r="N2303" s="228">
        <v>23849298</v>
      </c>
      <c r="O2303" s="146" t="s">
        <v>248</v>
      </c>
      <c r="P2303" s="146" t="s">
        <v>251</v>
      </c>
      <c r="Q2303" s="147" t="s">
        <v>363</v>
      </c>
      <c r="R2303" s="146" t="s">
        <v>948</v>
      </c>
      <c r="S2303" s="160" t="s">
        <v>17</v>
      </c>
      <c r="T2303" s="165">
        <v>42849</v>
      </c>
      <c r="U2303" s="172">
        <f t="shared" si="118"/>
        <v>2017</v>
      </c>
      <c r="V2303" s="172">
        <f t="shared" si="119"/>
        <v>4</v>
      </c>
      <c r="W2303" s="148" t="s">
        <v>949</v>
      </c>
      <c r="X2303" t="s">
        <v>892</v>
      </c>
      <c r="Y2303">
        <v>166</v>
      </c>
      <c r="Z2303">
        <v>4978</v>
      </c>
      <c r="AA2303" s="13">
        <f t="shared" si="117"/>
        <v>35150500</v>
      </c>
      <c r="AE2303" s="42"/>
      <c r="AL2303" s="94" t="s">
        <v>819</v>
      </c>
      <c r="AM2303" s="86">
        <v>693289</v>
      </c>
    </row>
    <row r="2304" spans="13:39" ht="15.75" hidden="1" thickBot="1">
      <c r="M2304" s="149">
        <v>9269</v>
      </c>
      <c r="N2304" s="228">
        <v>14984899</v>
      </c>
      <c r="O2304" s="146" t="s">
        <v>248</v>
      </c>
      <c r="P2304" s="146" t="s">
        <v>251</v>
      </c>
      <c r="Q2304" s="147" t="s">
        <v>364</v>
      </c>
      <c r="R2304" s="146" t="s">
        <v>948</v>
      </c>
      <c r="S2304" s="160" t="s">
        <v>17</v>
      </c>
      <c r="T2304" s="165">
        <v>42849</v>
      </c>
      <c r="U2304" s="172">
        <f t="shared" si="118"/>
        <v>2017</v>
      </c>
      <c r="V2304" s="172">
        <f t="shared" si="119"/>
        <v>4</v>
      </c>
      <c r="W2304" s="148" t="s">
        <v>949</v>
      </c>
      <c r="X2304" t="s">
        <v>892</v>
      </c>
      <c r="Y2304">
        <v>98</v>
      </c>
      <c r="Z2304">
        <v>3463</v>
      </c>
      <c r="AA2304" s="13">
        <f t="shared" si="117"/>
        <v>19127150</v>
      </c>
      <c r="AE2304" s="42"/>
      <c r="AL2304" s="88" t="s">
        <v>819</v>
      </c>
      <c r="AM2304" s="86">
        <v>6952484</v>
      </c>
    </row>
    <row r="2305" spans="13:39" ht="15.75" hidden="1" thickBot="1">
      <c r="M2305" s="149">
        <v>9579</v>
      </c>
      <c r="N2305" s="228">
        <v>27211218</v>
      </c>
      <c r="O2305" s="146" t="s">
        <v>248</v>
      </c>
      <c r="P2305" s="146" t="s">
        <v>251</v>
      </c>
      <c r="Q2305" s="147" t="s">
        <v>365</v>
      </c>
      <c r="R2305" s="146" t="s">
        <v>948</v>
      </c>
      <c r="S2305" s="160" t="s">
        <v>17</v>
      </c>
      <c r="T2305" s="165">
        <v>42849</v>
      </c>
      <c r="U2305" s="172">
        <f t="shared" si="118"/>
        <v>2017</v>
      </c>
      <c r="V2305" s="172">
        <f t="shared" si="119"/>
        <v>4</v>
      </c>
      <c r="W2305" s="148" t="s">
        <v>949</v>
      </c>
      <c r="X2305" t="s">
        <v>892</v>
      </c>
      <c r="Y2305">
        <v>200</v>
      </c>
      <c r="Z2305">
        <v>5376</v>
      </c>
      <c r="AA2305" s="13">
        <f t="shared" si="117"/>
        <v>43685000</v>
      </c>
      <c r="AE2305" s="42"/>
      <c r="AL2305" s="94" t="s">
        <v>819</v>
      </c>
      <c r="AM2305" s="86">
        <v>6957375</v>
      </c>
    </row>
    <row r="2306" spans="13:39" ht="15.75" hidden="1" thickBot="1">
      <c r="M2306" s="149">
        <v>9674</v>
      </c>
      <c r="N2306" s="228">
        <v>10550514</v>
      </c>
      <c r="O2306" s="146" t="s">
        <v>248</v>
      </c>
      <c r="P2306" s="146" t="s">
        <v>251</v>
      </c>
      <c r="Q2306" s="147" t="s">
        <v>366</v>
      </c>
      <c r="R2306" s="146" t="s">
        <v>948</v>
      </c>
      <c r="S2306" s="160" t="s">
        <v>17</v>
      </c>
      <c r="T2306" s="165">
        <v>42849</v>
      </c>
      <c r="U2306" s="172">
        <f t="shared" si="118"/>
        <v>2017</v>
      </c>
      <c r="V2306" s="172">
        <f t="shared" si="119"/>
        <v>4</v>
      </c>
      <c r="W2306" s="148" t="s">
        <v>949</v>
      </c>
      <c r="X2306" t="s">
        <v>892</v>
      </c>
      <c r="Y2306">
        <v>76</v>
      </c>
      <c r="Z2306">
        <v>1931</v>
      </c>
      <c r="AA2306" s="13">
        <f t="shared" si="117"/>
        <v>17141800</v>
      </c>
      <c r="AE2306" s="42"/>
      <c r="AL2306" s="94" t="s">
        <v>819</v>
      </c>
      <c r="AM2306" s="86">
        <v>696137</v>
      </c>
    </row>
    <row r="2307" spans="13:39" ht="15.75" hidden="1" thickBot="1">
      <c r="M2307" s="149">
        <v>9659</v>
      </c>
      <c r="N2307" s="228">
        <v>14854672</v>
      </c>
      <c r="O2307" s="146" t="s">
        <v>248</v>
      </c>
      <c r="P2307" s="146" t="s">
        <v>251</v>
      </c>
      <c r="Q2307" s="147" t="s">
        <v>367</v>
      </c>
      <c r="R2307" s="146" t="s">
        <v>948</v>
      </c>
      <c r="S2307" s="160" t="s">
        <v>17</v>
      </c>
      <c r="T2307" s="165">
        <v>42849</v>
      </c>
      <c r="U2307" s="172">
        <f t="shared" si="118"/>
        <v>2017</v>
      </c>
      <c r="V2307" s="172">
        <f t="shared" si="119"/>
        <v>4</v>
      </c>
      <c r="W2307" s="148" t="s">
        <v>949</v>
      </c>
      <c r="X2307" t="s">
        <v>892</v>
      </c>
      <c r="Y2307">
        <v>96</v>
      </c>
      <c r="Z2307">
        <v>3851</v>
      </c>
      <c r="AA2307" s="13">
        <f t="shared" si="117"/>
        <v>21544800</v>
      </c>
      <c r="AE2307" s="42"/>
      <c r="AL2307" s="88" t="s">
        <v>819</v>
      </c>
      <c r="AM2307" s="86">
        <v>69636221</v>
      </c>
    </row>
    <row r="2308" spans="13:39" ht="15.75" hidden="1" thickBot="1">
      <c r="M2308" s="149">
        <v>10226</v>
      </c>
      <c r="N2308" s="228">
        <v>6465758</v>
      </c>
      <c r="O2308" s="146" t="s">
        <v>248</v>
      </c>
      <c r="P2308" s="146" t="s">
        <v>251</v>
      </c>
      <c r="Q2308" s="147" t="s">
        <v>368</v>
      </c>
      <c r="R2308" s="146" t="s">
        <v>948</v>
      </c>
      <c r="S2308" s="160" t="s">
        <v>17</v>
      </c>
      <c r="T2308" s="165">
        <v>42849</v>
      </c>
      <c r="U2308" s="172">
        <f t="shared" si="118"/>
        <v>2017</v>
      </c>
      <c r="V2308" s="172">
        <f t="shared" si="119"/>
        <v>4</v>
      </c>
      <c r="W2308" s="148" t="s">
        <v>949</v>
      </c>
      <c r="X2308" t="s">
        <v>892</v>
      </c>
      <c r="Y2308">
        <v>46</v>
      </c>
      <c r="Z2308">
        <v>1343</v>
      </c>
      <c r="AA2308" s="13">
        <f t="shared" ref="AA2308:AA2371" si="120">IF(M2308&lt;30000,Y2308*100*M2308*(1-$L$1)-$L$2*Y2308,M2308)</f>
        <v>12279700</v>
      </c>
      <c r="AE2308" s="42"/>
      <c r="AL2308" s="94" t="s">
        <v>819</v>
      </c>
      <c r="AM2308" s="86">
        <v>69986209</v>
      </c>
    </row>
    <row r="2309" spans="13:39" ht="15.75" hidden="1" thickBot="1">
      <c r="M2309" s="153">
        <v>8657</v>
      </c>
      <c r="N2309" s="227">
        <v>41997176</v>
      </c>
      <c r="O2309" s="155" t="s">
        <v>248</v>
      </c>
      <c r="P2309" s="155" t="s">
        <v>251</v>
      </c>
      <c r="Q2309" s="147" t="s">
        <v>254</v>
      </c>
      <c r="R2309" s="155" t="s">
        <v>18</v>
      </c>
      <c r="S2309" s="142" t="s">
        <v>18</v>
      </c>
      <c r="T2309" s="158">
        <v>42730</v>
      </c>
      <c r="U2309" s="172">
        <f t="shared" si="118"/>
        <v>2016</v>
      </c>
      <c r="V2309" s="172">
        <f t="shared" si="119"/>
        <v>12</v>
      </c>
      <c r="W2309" s="162" t="s">
        <v>672</v>
      </c>
      <c r="X2309" t="s">
        <v>892</v>
      </c>
      <c r="Y2309">
        <v>298</v>
      </c>
      <c r="Z2309" s="13">
        <v>10236</v>
      </c>
      <c r="AA2309" s="13">
        <f t="shared" si="120"/>
        <v>44483950</v>
      </c>
      <c r="AE2309" s="42"/>
      <c r="AL2309" s="94" t="s">
        <v>819</v>
      </c>
      <c r="AM2309" s="86">
        <v>7007169</v>
      </c>
    </row>
    <row r="2310" spans="13:39" ht="15.75" hidden="1" thickBot="1">
      <c r="M2310" s="153">
        <v>8768</v>
      </c>
      <c r="N2310" s="227">
        <v>39686614</v>
      </c>
      <c r="O2310" s="155" t="s">
        <v>248</v>
      </c>
      <c r="P2310" s="155" t="s">
        <v>251</v>
      </c>
      <c r="Q2310" s="147" t="s">
        <v>257</v>
      </c>
      <c r="R2310" s="155" t="s">
        <v>18</v>
      </c>
      <c r="S2310" s="142" t="s">
        <v>18</v>
      </c>
      <c r="T2310" s="158">
        <v>42730</v>
      </c>
      <c r="U2310" s="172">
        <f t="shared" si="118"/>
        <v>2016</v>
      </c>
      <c r="V2310" s="172">
        <f t="shared" si="119"/>
        <v>12</v>
      </c>
      <c r="W2310" s="162" t="s">
        <v>672</v>
      </c>
      <c r="X2310" t="s">
        <v>892</v>
      </c>
      <c r="Y2310">
        <v>228</v>
      </c>
      <c r="Z2310" s="13">
        <v>7667</v>
      </c>
      <c r="AA2310" s="13">
        <f t="shared" si="120"/>
        <v>35932800</v>
      </c>
      <c r="AE2310" s="42"/>
      <c r="AL2310" s="94" t="s">
        <v>819</v>
      </c>
      <c r="AM2310" s="86">
        <v>703541</v>
      </c>
    </row>
    <row r="2311" spans="13:39" ht="15.75" hidden="1" thickBot="1">
      <c r="M2311" s="153">
        <v>8828</v>
      </c>
      <c r="N2311" s="227">
        <v>31973397</v>
      </c>
      <c r="O2311" s="155" t="s">
        <v>248</v>
      </c>
      <c r="P2311" s="155" t="s">
        <v>251</v>
      </c>
      <c r="Q2311" s="147" t="s">
        <v>256</v>
      </c>
      <c r="R2311" s="155" t="s">
        <v>18</v>
      </c>
      <c r="S2311" s="142" t="s">
        <v>18</v>
      </c>
      <c r="T2311" s="158">
        <v>42730</v>
      </c>
      <c r="U2311" s="172">
        <f t="shared" ref="U2311:U2374" si="121">YEAR($T2311)</f>
        <v>2016</v>
      </c>
      <c r="V2311" s="172">
        <f t="shared" ref="V2311:V2374" si="122">MONTH($T2311)</f>
        <v>12</v>
      </c>
      <c r="W2311" s="162" t="s">
        <v>672</v>
      </c>
      <c r="X2311" t="s">
        <v>892</v>
      </c>
      <c r="Y2311">
        <v>274</v>
      </c>
      <c r="Z2311" s="13">
        <v>10526</v>
      </c>
      <c r="AA2311" s="13">
        <f t="shared" si="120"/>
        <v>44415400</v>
      </c>
      <c r="AE2311" s="42"/>
      <c r="AL2311" s="88" t="s">
        <v>819</v>
      </c>
      <c r="AM2311" s="86">
        <v>706381</v>
      </c>
    </row>
    <row r="2312" spans="13:39" ht="30.75" hidden="1" thickBot="1">
      <c r="M2312" s="153">
        <v>517770</v>
      </c>
      <c r="N2312" s="229" t="s">
        <v>812</v>
      </c>
      <c r="O2312" s="155" t="s">
        <v>332</v>
      </c>
      <c r="P2312" s="155" t="s">
        <v>245</v>
      </c>
      <c r="Q2312" s="150">
        <v>3</v>
      </c>
      <c r="R2312" s="155" t="s">
        <v>670</v>
      </c>
      <c r="S2312" s="142" t="s">
        <v>18</v>
      </c>
      <c r="T2312" s="158">
        <v>42764</v>
      </c>
      <c r="U2312" s="172">
        <f t="shared" si="121"/>
        <v>2017</v>
      </c>
      <c r="V2312" s="172">
        <f t="shared" si="122"/>
        <v>1</v>
      </c>
      <c r="W2312" s="162" t="s">
        <v>671</v>
      </c>
      <c r="X2312" t="s">
        <v>894</v>
      </c>
      <c r="Z2312" s="13"/>
      <c r="AA2312" s="13">
        <f t="shared" si="120"/>
        <v>517770</v>
      </c>
      <c r="AE2312" s="42"/>
      <c r="AL2312" s="94" t="s">
        <v>819</v>
      </c>
      <c r="AM2312" s="86">
        <v>7109886</v>
      </c>
    </row>
    <row r="2313" spans="13:39" ht="15.75" hidden="1" thickBot="1">
      <c r="M2313" s="153">
        <v>717000</v>
      </c>
      <c r="N2313" s="229" t="s">
        <v>812</v>
      </c>
      <c r="O2313" s="155" t="s">
        <v>244</v>
      </c>
      <c r="P2313" s="155" t="s">
        <v>245</v>
      </c>
      <c r="Q2313" s="150">
        <v>44</v>
      </c>
      <c r="R2313" s="155" t="s">
        <v>18</v>
      </c>
      <c r="S2313" s="142" t="s">
        <v>18</v>
      </c>
      <c r="T2313" s="158">
        <v>42225</v>
      </c>
      <c r="U2313" s="172">
        <f t="shared" si="121"/>
        <v>2015</v>
      </c>
      <c r="V2313" s="172">
        <f t="shared" si="122"/>
        <v>8</v>
      </c>
      <c r="W2313" s="162" t="s">
        <v>673</v>
      </c>
      <c r="X2313" t="s">
        <v>892</v>
      </c>
      <c r="Y2313">
        <v>2</v>
      </c>
      <c r="Z2313" s="13">
        <v>311</v>
      </c>
      <c r="AA2313" s="13">
        <f t="shared" si="120"/>
        <v>717000</v>
      </c>
      <c r="AE2313" s="42"/>
      <c r="AL2313" s="94" t="s">
        <v>819</v>
      </c>
      <c r="AM2313" s="86">
        <v>712653</v>
      </c>
    </row>
    <row r="2314" spans="13:39" ht="15.75" hidden="1" thickBot="1">
      <c r="M2314" s="146" t="s">
        <v>917</v>
      </c>
      <c r="N2314" s="228">
        <v>21658935</v>
      </c>
      <c r="O2314" s="146" t="s">
        <v>248</v>
      </c>
      <c r="P2314" s="146" t="s">
        <v>251</v>
      </c>
      <c r="Q2314" s="147" t="s">
        <v>258</v>
      </c>
      <c r="R2314" s="146" t="s">
        <v>942</v>
      </c>
      <c r="S2314" s="160" t="s">
        <v>18</v>
      </c>
      <c r="T2314" s="151">
        <v>42952</v>
      </c>
      <c r="U2314" s="172">
        <f t="shared" si="121"/>
        <v>2017</v>
      </c>
      <c r="V2314" s="172">
        <f t="shared" si="122"/>
        <v>8</v>
      </c>
      <c r="W2314" s="148" t="s">
        <v>943</v>
      </c>
      <c r="X2314" t="s">
        <v>892</v>
      </c>
      <c r="Y2314">
        <v>124</v>
      </c>
      <c r="Z2314">
        <v>4723</v>
      </c>
      <c r="AA2314" s="13" t="str">
        <f t="shared" si="120"/>
        <v>אין הצעות למתחם זה</v>
      </c>
      <c r="AE2314" s="42"/>
      <c r="AL2314" s="94" t="s">
        <v>819</v>
      </c>
      <c r="AM2314" s="86">
        <v>7163293</v>
      </c>
    </row>
    <row r="2315" spans="13:39" ht="15.75" hidden="1" thickBot="1">
      <c r="M2315" s="146" t="s">
        <v>917</v>
      </c>
      <c r="N2315" s="228">
        <v>26347341</v>
      </c>
      <c r="O2315" s="146" t="s">
        <v>248</v>
      </c>
      <c r="P2315" s="146" t="s">
        <v>251</v>
      </c>
      <c r="Q2315" s="147" t="s">
        <v>259</v>
      </c>
      <c r="R2315" s="146" t="s">
        <v>942</v>
      </c>
      <c r="S2315" s="160" t="s">
        <v>18</v>
      </c>
      <c r="T2315" s="151">
        <v>42952</v>
      </c>
      <c r="U2315" s="172">
        <f t="shared" si="121"/>
        <v>2017</v>
      </c>
      <c r="V2315" s="172">
        <f t="shared" si="122"/>
        <v>8</v>
      </c>
      <c r="W2315" s="148" t="s">
        <v>943</v>
      </c>
      <c r="X2315" t="s">
        <v>892</v>
      </c>
      <c r="Y2315">
        <v>160</v>
      </c>
      <c r="Z2315">
        <v>6028</v>
      </c>
      <c r="AA2315" s="13" t="str">
        <f t="shared" si="120"/>
        <v>אין הצעות למתחם זה</v>
      </c>
      <c r="AE2315" s="42"/>
      <c r="AL2315" s="88" t="s">
        <v>819</v>
      </c>
      <c r="AM2315" s="86">
        <v>716892</v>
      </c>
    </row>
    <row r="2316" spans="13:39" ht="15.75" hidden="1" thickBot="1">
      <c r="M2316" s="146" t="s">
        <v>917</v>
      </c>
      <c r="N2316" s="228">
        <v>33436021</v>
      </c>
      <c r="O2316" s="146" t="s">
        <v>248</v>
      </c>
      <c r="P2316" s="146" t="s">
        <v>251</v>
      </c>
      <c r="Q2316" s="147" t="s">
        <v>260</v>
      </c>
      <c r="R2316" s="146" t="s">
        <v>942</v>
      </c>
      <c r="S2316" s="160" t="s">
        <v>18</v>
      </c>
      <c r="T2316" s="151">
        <v>42952</v>
      </c>
      <c r="U2316" s="172">
        <f t="shared" si="121"/>
        <v>2017</v>
      </c>
      <c r="V2316" s="172">
        <f t="shared" si="122"/>
        <v>8</v>
      </c>
      <c r="W2316" s="148" t="s">
        <v>943</v>
      </c>
      <c r="X2316" t="s">
        <v>892</v>
      </c>
      <c r="Y2316">
        <v>198</v>
      </c>
      <c r="Z2316">
        <v>7434</v>
      </c>
      <c r="AA2316" s="13" t="str">
        <f t="shared" si="120"/>
        <v>אין הצעות למתחם זה</v>
      </c>
      <c r="AE2316" s="42"/>
      <c r="AL2316" s="88" t="s">
        <v>819</v>
      </c>
      <c r="AM2316" s="86">
        <v>719333</v>
      </c>
    </row>
    <row r="2317" spans="13:39" ht="15.75" hidden="1" thickBot="1">
      <c r="M2317" s="146" t="s">
        <v>917</v>
      </c>
      <c r="N2317" s="228">
        <v>31802035</v>
      </c>
      <c r="O2317" s="146" t="s">
        <v>248</v>
      </c>
      <c r="P2317" s="146" t="s">
        <v>251</v>
      </c>
      <c r="Q2317" s="147" t="s">
        <v>261</v>
      </c>
      <c r="R2317" s="146" t="s">
        <v>942</v>
      </c>
      <c r="S2317" s="160" t="s">
        <v>18</v>
      </c>
      <c r="T2317" s="151">
        <v>42952</v>
      </c>
      <c r="U2317" s="172">
        <f t="shared" si="121"/>
        <v>2017</v>
      </c>
      <c r="V2317" s="172">
        <f t="shared" si="122"/>
        <v>8</v>
      </c>
      <c r="W2317" s="148" t="s">
        <v>943</v>
      </c>
      <c r="X2317" t="s">
        <v>892</v>
      </c>
      <c r="Y2317">
        <v>186</v>
      </c>
      <c r="Z2317">
        <v>6765</v>
      </c>
      <c r="AA2317" s="13" t="str">
        <f t="shared" si="120"/>
        <v>אין הצעות למתחם זה</v>
      </c>
      <c r="AE2317" s="42"/>
      <c r="AL2317" s="94" t="s">
        <v>819</v>
      </c>
      <c r="AM2317" s="86">
        <v>7197526</v>
      </c>
    </row>
    <row r="2318" spans="13:39" ht="15.75" hidden="1" thickBot="1">
      <c r="M2318" s="146" t="s">
        <v>917</v>
      </c>
      <c r="N2318" s="228">
        <v>21571366</v>
      </c>
      <c r="O2318" s="146" t="s">
        <v>248</v>
      </c>
      <c r="P2318" s="146" t="s">
        <v>251</v>
      </c>
      <c r="Q2318" s="147" t="s">
        <v>262</v>
      </c>
      <c r="R2318" s="146" t="s">
        <v>942</v>
      </c>
      <c r="S2318" s="160" t="s">
        <v>18</v>
      </c>
      <c r="T2318" s="151">
        <v>42952</v>
      </c>
      <c r="U2318" s="172">
        <f t="shared" si="121"/>
        <v>2017</v>
      </c>
      <c r="V2318" s="172">
        <f t="shared" si="122"/>
        <v>8</v>
      </c>
      <c r="W2318" s="148" t="s">
        <v>943</v>
      </c>
      <c r="X2318" t="s">
        <v>892</v>
      </c>
      <c r="Y2318">
        <v>124</v>
      </c>
      <c r="Z2318">
        <v>4641</v>
      </c>
      <c r="AA2318" s="13" t="str">
        <f t="shared" si="120"/>
        <v>אין הצעות למתחם זה</v>
      </c>
      <c r="AE2318" s="42"/>
      <c r="AL2318" s="88" t="s">
        <v>819</v>
      </c>
      <c r="AM2318" s="86">
        <v>720480</v>
      </c>
    </row>
    <row r="2319" spans="13:39" ht="15.75" hidden="1" thickBot="1">
      <c r="M2319" s="149">
        <v>6011111</v>
      </c>
      <c r="N2319" s="228">
        <v>15867</v>
      </c>
      <c r="O2319" s="146" t="s">
        <v>248</v>
      </c>
      <c r="P2319" s="146" t="s">
        <v>245</v>
      </c>
      <c r="Q2319" s="150">
        <v>2009</v>
      </c>
      <c r="R2319" s="146" t="s">
        <v>957</v>
      </c>
      <c r="S2319" s="160" t="s">
        <v>977</v>
      </c>
      <c r="T2319" s="165">
        <v>42848</v>
      </c>
      <c r="U2319" s="172">
        <f t="shared" si="121"/>
        <v>2017</v>
      </c>
      <c r="V2319" s="172">
        <f t="shared" si="122"/>
        <v>4</v>
      </c>
      <c r="W2319" s="164" t="s">
        <v>958</v>
      </c>
      <c r="X2319" t="e">
        <f>MATCH($W2319,$E$30:$E$125,0)</f>
        <v>#N/A</v>
      </c>
      <c r="AA2319" s="13">
        <f t="shared" si="120"/>
        <v>6011111</v>
      </c>
      <c r="AE2319" s="42"/>
      <c r="AL2319" s="88" t="s">
        <v>819</v>
      </c>
      <c r="AM2319" s="86">
        <v>722921</v>
      </c>
    </row>
    <row r="2320" spans="13:39" ht="15.75" hidden="1" thickBot="1">
      <c r="M2320" s="168">
        <v>7683</v>
      </c>
      <c r="N2320" s="230">
        <v>28048203</v>
      </c>
      <c r="O2320" s="102" t="s">
        <v>248</v>
      </c>
      <c r="P2320" s="102" t="s">
        <v>251</v>
      </c>
      <c r="Q2320" s="166">
        <v>42979</v>
      </c>
      <c r="R2320" s="102" t="s">
        <v>16</v>
      </c>
      <c r="S2320" s="169" t="s">
        <v>16</v>
      </c>
      <c r="T2320" s="171">
        <v>42548</v>
      </c>
      <c r="U2320" s="172">
        <f t="shared" si="121"/>
        <v>2016</v>
      </c>
      <c r="V2320" s="172">
        <f t="shared" si="122"/>
        <v>6</v>
      </c>
      <c r="W2320" s="170" t="s">
        <v>981</v>
      </c>
      <c r="X2320" t="s">
        <v>892</v>
      </c>
      <c r="Y2320">
        <v>150</v>
      </c>
      <c r="Z2320">
        <v>12121</v>
      </c>
      <c r="AA2320" s="13">
        <f t="shared" si="120"/>
        <v>11433750</v>
      </c>
      <c r="AE2320" s="42"/>
      <c r="AL2320" s="94" t="s">
        <v>819</v>
      </c>
      <c r="AM2320" s="86">
        <v>728031</v>
      </c>
    </row>
    <row r="2321" spans="13:39" ht="15.75" hidden="1" thickBot="1">
      <c r="M2321" s="168">
        <v>8168</v>
      </c>
      <c r="N2321" s="230">
        <v>15649761</v>
      </c>
      <c r="O2321" s="102" t="s">
        <v>248</v>
      </c>
      <c r="P2321" s="102" t="s">
        <v>251</v>
      </c>
      <c r="Q2321" s="166">
        <v>42980</v>
      </c>
      <c r="R2321" s="102" t="s">
        <v>16</v>
      </c>
      <c r="S2321" s="169" t="s">
        <v>16</v>
      </c>
      <c r="T2321" s="171">
        <v>42548</v>
      </c>
      <c r="U2321" s="172">
        <f t="shared" si="121"/>
        <v>2016</v>
      </c>
      <c r="V2321" s="172">
        <f t="shared" si="122"/>
        <v>6</v>
      </c>
      <c r="W2321" s="170" t="s">
        <v>981</v>
      </c>
      <c r="X2321" t="s">
        <v>892</v>
      </c>
      <c r="Y2321">
        <v>57</v>
      </c>
      <c r="Z2321">
        <v>9120</v>
      </c>
      <c r="AA2321" s="13">
        <f t="shared" si="120"/>
        <v>6418200</v>
      </c>
      <c r="AE2321" s="42"/>
      <c r="AL2321" s="94" t="s">
        <v>819</v>
      </c>
      <c r="AM2321" s="86">
        <v>7450487</v>
      </c>
    </row>
    <row r="2322" spans="13:39" ht="15.75" hidden="1" thickBot="1">
      <c r="M2322" s="168">
        <v>8259</v>
      </c>
      <c r="N2322" s="230">
        <v>19789668</v>
      </c>
      <c r="O2322" s="102" t="s">
        <v>248</v>
      </c>
      <c r="P2322" s="102" t="s">
        <v>251</v>
      </c>
      <c r="Q2322" s="166">
        <v>42981</v>
      </c>
      <c r="R2322" s="102" t="s">
        <v>16</v>
      </c>
      <c r="S2322" s="169" t="s">
        <v>16</v>
      </c>
      <c r="T2322" s="171">
        <v>42548</v>
      </c>
      <c r="U2322" s="172">
        <f t="shared" si="121"/>
        <v>2016</v>
      </c>
      <c r="V2322" s="172">
        <f t="shared" si="122"/>
        <v>6</v>
      </c>
      <c r="W2322" s="170" t="s">
        <v>981</v>
      </c>
      <c r="X2322" t="s">
        <v>892</v>
      </c>
      <c r="Y2322">
        <v>79</v>
      </c>
      <c r="Z2322">
        <v>12640</v>
      </c>
      <c r="AA2322" s="13">
        <f t="shared" si="120"/>
        <v>9434575</v>
      </c>
      <c r="AE2322" s="42"/>
      <c r="AL2322" s="88" t="s">
        <v>819</v>
      </c>
      <c r="AM2322" s="86">
        <v>7455771</v>
      </c>
    </row>
    <row r="2323" spans="13:39" ht="15.75" hidden="1" thickBot="1">
      <c r="M2323" s="168">
        <v>7988</v>
      </c>
      <c r="N2323" s="230">
        <v>21486242</v>
      </c>
      <c r="O2323" s="102" t="s">
        <v>248</v>
      </c>
      <c r="P2323" s="102" t="s">
        <v>251</v>
      </c>
      <c r="Q2323" s="166">
        <v>42982</v>
      </c>
      <c r="R2323" s="102" t="s">
        <v>16</v>
      </c>
      <c r="S2323" s="169" t="s">
        <v>16</v>
      </c>
      <c r="T2323" s="171">
        <v>42548</v>
      </c>
      <c r="U2323" s="172">
        <f t="shared" si="121"/>
        <v>2016</v>
      </c>
      <c r="V2323" s="172">
        <f t="shared" si="122"/>
        <v>6</v>
      </c>
      <c r="W2323" s="170" t="s">
        <v>981</v>
      </c>
      <c r="X2323" t="s">
        <v>892</v>
      </c>
      <c r="Y2323">
        <v>83</v>
      </c>
      <c r="Z2323">
        <v>13280</v>
      </c>
      <c r="AA2323" s="13">
        <f t="shared" si="120"/>
        <v>8225300</v>
      </c>
      <c r="AE2323" s="42"/>
      <c r="AL2323" s="94" t="s">
        <v>819</v>
      </c>
      <c r="AM2323" s="86">
        <v>7522895</v>
      </c>
    </row>
    <row r="2324" spans="13:39" ht="15.75" hidden="1" thickBot="1">
      <c r="M2324" s="168">
        <v>7695</v>
      </c>
      <c r="N2324" s="230">
        <v>34626059</v>
      </c>
      <c r="O2324" s="102" t="s">
        <v>248</v>
      </c>
      <c r="P2324" s="102" t="s">
        <v>251</v>
      </c>
      <c r="Q2324" s="166">
        <v>42983</v>
      </c>
      <c r="R2324" s="102" t="s">
        <v>16</v>
      </c>
      <c r="S2324" s="169" t="s">
        <v>16</v>
      </c>
      <c r="T2324" s="171">
        <v>42548</v>
      </c>
      <c r="U2324" s="172">
        <f t="shared" si="121"/>
        <v>2016</v>
      </c>
      <c r="V2324" s="172">
        <f t="shared" si="122"/>
        <v>6</v>
      </c>
      <c r="W2324" s="170" t="s">
        <v>981</v>
      </c>
      <c r="X2324" t="s">
        <v>892</v>
      </c>
      <c r="Y2324">
        <v>176</v>
      </c>
      <c r="Z2324">
        <v>15732</v>
      </c>
      <c r="AA2324" s="13">
        <f t="shared" si="120"/>
        <v>13574000</v>
      </c>
      <c r="AE2324" s="42"/>
      <c r="AL2324" s="88" t="s">
        <v>819</v>
      </c>
      <c r="AM2324" s="86">
        <v>761508</v>
      </c>
    </row>
    <row r="2325" spans="13:39" ht="15.75" hidden="1" thickBot="1">
      <c r="M2325" s="168">
        <v>7695</v>
      </c>
      <c r="N2325" s="230">
        <v>11365229</v>
      </c>
      <c r="O2325" s="102" t="s">
        <v>248</v>
      </c>
      <c r="P2325" s="102" t="s">
        <v>251</v>
      </c>
      <c r="Q2325" s="166">
        <v>42984</v>
      </c>
      <c r="R2325" s="102" t="s">
        <v>16</v>
      </c>
      <c r="S2325" s="169" t="s">
        <v>16</v>
      </c>
      <c r="T2325" s="171">
        <v>42548</v>
      </c>
      <c r="U2325" s="172">
        <f t="shared" si="121"/>
        <v>2016</v>
      </c>
      <c r="V2325" s="172">
        <f t="shared" si="122"/>
        <v>6</v>
      </c>
      <c r="W2325" s="170" t="s">
        <v>981</v>
      </c>
      <c r="X2325" t="s">
        <v>892</v>
      </c>
      <c r="Y2325">
        <v>64</v>
      </c>
      <c r="Z2325">
        <v>4566</v>
      </c>
      <c r="AA2325" s="13">
        <f t="shared" si="120"/>
        <v>4936000</v>
      </c>
      <c r="AE2325" s="42"/>
      <c r="AL2325" s="88" t="s">
        <v>819</v>
      </c>
      <c r="AM2325" s="86">
        <v>761508</v>
      </c>
    </row>
    <row r="2326" spans="13:39" ht="15.75" hidden="1" thickBot="1">
      <c r="M2326" s="168">
        <v>7743</v>
      </c>
      <c r="N2326" s="230">
        <v>40110305</v>
      </c>
      <c r="O2326" s="102" t="s">
        <v>248</v>
      </c>
      <c r="P2326" s="102" t="s">
        <v>251</v>
      </c>
      <c r="Q2326" s="166">
        <v>42986</v>
      </c>
      <c r="R2326" s="102" t="s">
        <v>16</v>
      </c>
      <c r="S2326" s="169" t="s">
        <v>16</v>
      </c>
      <c r="T2326" s="171">
        <v>42548</v>
      </c>
      <c r="U2326" s="172">
        <f t="shared" si="121"/>
        <v>2016</v>
      </c>
      <c r="V2326" s="172">
        <f t="shared" si="122"/>
        <v>6</v>
      </c>
      <c r="W2326" s="170" t="s">
        <v>981</v>
      </c>
      <c r="X2326" t="s">
        <v>892</v>
      </c>
      <c r="Y2326">
        <v>224</v>
      </c>
      <c r="Z2326">
        <v>16315</v>
      </c>
      <c r="AA2326" s="13">
        <f t="shared" si="120"/>
        <v>18082400</v>
      </c>
      <c r="AE2326" s="42"/>
      <c r="AL2326" s="88" t="s">
        <v>819</v>
      </c>
      <c r="AM2326" s="86">
        <v>761508</v>
      </c>
    </row>
    <row r="2327" spans="13:39" ht="15.75" hidden="1" thickBot="1">
      <c r="M2327" s="168">
        <v>7895</v>
      </c>
      <c r="N2327" s="230">
        <v>11512355</v>
      </c>
      <c r="O2327" s="102" t="s">
        <v>248</v>
      </c>
      <c r="P2327" s="102" t="s">
        <v>251</v>
      </c>
      <c r="Q2327" s="166">
        <v>42987</v>
      </c>
      <c r="R2327" s="102" t="s">
        <v>16</v>
      </c>
      <c r="S2327" s="169" t="s">
        <v>16</v>
      </c>
      <c r="T2327" s="171">
        <v>42548</v>
      </c>
      <c r="U2327" s="172">
        <f t="shared" si="121"/>
        <v>2016</v>
      </c>
      <c r="V2327" s="172">
        <f t="shared" si="122"/>
        <v>6</v>
      </c>
      <c r="W2327" s="170" t="s">
        <v>981</v>
      </c>
      <c r="X2327" t="s">
        <v>892</v>
      </c>
      <c r="Y2327">
        <v>51</v>
      </c>
      <c r="Z2327">
        <v>6109</v>
      </c>
      <c r="AA2327" s="13">
        <f t="shared" si="120"/>
        <v>4698375</v>
      </c>
      <c r="AE2327" s="42"/>
      <c r="AL2327" s="88" t="s">
        <v>819</v>
      </c>
      <c r="AM2327" s="86">
        <v>761508</v>
      </c>
    </row>
    <row r="2328" spans="13:39" ht="15.75" hidden="1" thickBot="1">
      <c r="M2328" s="168">
        <v>7875</v>
      </c>
      <c r="N2328" s="230">
        <v>9537481</v>
      </c>
      <c r="O2328" s="102" t="s">
        <v>248</v>
      </c>
      <c r="P2328" s="102" t="s">
        <v>251</v>
      </c>
      <c r="Q2328" s="166">
        <v>42988</v>
      </c>
      <c r="R2328" s="102" t="s">
        <v>16</v>
      </c>
      <c r="S2328" s="169" t="s">
        <v>16</v>
      </c>
      <c r="T2328" s="171">
        <v>42548</v>
      </c>
      <c r="U2328" s="172">
        <f t="shared" si="121"/>
        <v>2016</v>
      </c>
      <c r="V2328" s="172">
        <f t="shared" si="122"/>
        <v>6</v>
      </c>
      <c r="W2328" s="170" t="s">
        <v>981</v>
      </c>
      <c r="X2328" t="s">
        <v>892</v>
      </c>
      <c r="Y2328">
        <v>42</v>
      </c>
      <c r="Z2328">
        <v>5088</v>
      </c>
      <c r="AA2328" s="13">
        <f t="shared" si="120"/>
        <v>3806250</v>
      </c>
      <c r="AE2328" s="42"/>
      <c r="AL2328" s="88" t="s">
        <v>819</v>
      </c>
      <c r="AM2328" s="86">
        <v>761508</v>
      </c>
    </row>
    <row r="2329" spans="13:39" ht="15.75" hidden="1" thickBot="1">
      <c r="M2329" s="168">
        <v>7755</v>
      </c>
      <c r="N2329" s="230">
        <v>11029567</v>
      </c>
      <c r="O2329" s="102" t="s">
        <v>248</v>
      </c>
      <c r="P2329" s="102" t="s">
        <v>251</v>
      </c>
      <c r="Q2329" s="166">
        <v>42989</v>
      </c>
      <c r="R2329" s="102" t="s">
        <v>16</v>
      </c>
      <c r="S2329" s="169" t="s">
        <v>16</v>
      </c>
      <c r="T2329" s="171">
        <v>42548</v>
      </c>
      <c r="U2329" s="172">
        <f t="shared" si="121"/>
        <v>2016</v>
      </c>
      <c r="V2329" s="172">
        <f t="shared" si="122"/>
        <v>6</v>
      </c>
      <c r="W2329" s="170" t="s">
        <v>981</v>
      </c>
      <c r="X2329" t="s">
        <v>892</v>
      </c>
      <c r="Y2329">
        <v>52</v>
      </c>
      <c r="Z2329">
        <v>5516</v>
      </c>
      <c r="AA2329" s="13">
        <f t="shared" si="120"/>
        <v>4244500</v>
      </c>
      <c r="AE2329" s="42"/>
      <c r="AL2329" s="88" t="s">
        <v>819</v>
      </c>
      <c r="AM2329" s="86">
        <v>761508</v>
      </c>
    </row>
    <row r="2330" spans="13:39" ht="15.75" hidden="1" thickBot="1">
      <c r="M2330" s="168">
        <v>7888</v>
      </c>
      <c r="N2330" s="230">
        <v>11686098</v>
      </c>
      <c r="O2330" s="102" t="s">
        <v>248</v>
      </c>
      <c r="P2330" s="102" t="s">
        <v>251</v>
      </c>
      <c r="Q2330" s="166">
        <v>42990</v>
      </c>
      <c r="R2330" s="102" t="s">
        <v>16</v>
      </c>
      <c r="S2330" s="169" t="s">
        <v>16</v>
      </c>
      <c r="T2330" s="171">
        <v>42548</v>
      </c>
      <c r="U2330" s="172">
        <f t="shared" si="121"/>
        <v>2016</v>
      </c>
      <c r="V2330" s="172">
        <f t="shared" si="122"/>
        <v>6</v>
      </c>
      <c r="W2330" s="170" t="s">
        <v>981</v>
      </c>
      <c r="X2330" t="s">
        <v>892</v>
      </c>
      <c r="Y2330">
        <v>48</v>
      </c>
      <c r="Z2330">
        <v>6287</v>
      </c>
      <c r="AA2330" s="13">
        <f t="shared" si="120"/>
        <v>4396800</v>
      </c>
      <c r="AE2330" s="42"/>
      <c r="AL2330" s="88" t="s">
        <v>819</v>
      </c>
      <c r="AM2330" s="86">
        <v>761508</v>
      </c>
    </row>
    <row r="2331" spans="13:39" ht="15.75" hidden="1" thickBot="1">
      <c r="M2331" s="168">
        <v>7895</v>
      </c>
      <c r="N2331" s="230">
        <v>12688661</v>
      </c>
      <c r="O2331" s="102" t="s">
        <v>248</v>
      </c>
      <c r="P2331" s="102" t="s">
        <v>251</v>
      </c>
      <c r="Q2331" s="166">
        <v>42991</v>
      </c>
      <c r="R2331" s="102" t="s">
        <v>16</v>
      </c>
      <c r="S2331" s="169" t="s">
        <v>16</v>
      </c>
      <c r="T2331" s="171">
        <v>42548</v>
      </c>
      <c r="U2331" s="172">
        <f t="shared" si="121"/>
        <v>2016</v>
      </c>
      <c r="V2331" s="172">
        <f t="shared" si="122"/>
        <v>6</v>
      </c>
      <c r="W2331" s="170" t="s">
        <v>981</v>
      </c>
      <c r="X2331" t="s">
        <v>892</v>
      </c>
      <c r="Y2331">
        <v>49</v>
      </c>
      <c r="Z2331">
        <v>7507</v>
      </c>
      <c r="AA2331" s="13">
        <f t="shared" si="120"/>
        <v>4514125</v>
      </c>
      <c r="AE2331" s="42"/>
      <c r="AL2331" s="88" t="s">
        <v>819</v>
      </c>
      <c r="AM2331" s="86">
        <v>761508</v>
      </c>
    </row>
    <row r="2332" spans="13:39" ht="15.75" hidden="1" thickBot="1">
      <c r="M2332" s="168">
        <v>7995</v>
      </c>
      <c r="N2332" s="230">
        <v>9841893</v>
      </c>
      <c r="O2332" s="102" t="s">
        <v>248</v>
      </c>
      <c r="P2332" s="102" t="s">
        <v>251</v>
      </c>
      <c r="Q2332" s="166">
        <v>42992</v>
      </c>
      <c r="R2332" s="102" t="s">
        <v>16</v>
      </c>
      <c r="S2332" s="169" t="s">
        <v>16</v>
      </c>
      <c r="T2332" s="171">
        <v>42548</v>
      </c>
      <c r="U2332" s="172">
        <f t="shared" si="121"/>
        <v>2016</v>
      </c>
      <c r="V2332" s="172">
        <f t="shared" si="122"/>
        <v>6</v>
      </c>
      <c r="W2332" s="170" t="s">
        <v>981</v>
      </c>
      <c r="X2332" t="s">
        <v>892</v>
      </c>
      <c r="Y2332">
        <v>35</v>
      </c>
      <c r="Z2332">
        <v>5913</v>
      </c>
      <c r="AA2332" s="13">
        <f t="shared" si="120"/>
        <v>3486875</v>
      </c>
      <c r="AE2332" s="42"/>
      <c r="AL2332" s="94" t="s">
        <v>819</v>
      </c>
      <c r="AM2332" s="86">
        <v>7627539</v>
      </c>
    </row>
    <row r="2333" spans="13:39" ht="15.75" hidden="1" thickBot="1">
      <c r="M2333" s="168">
        <v>7899</v>
      </c>
      <c r="N2333" s="230">
        <v>14142367</v>
      </c>
      <c r="O2333" s="102" t="s">
        <v>248</v>
      </c>
      <c r="P2333" s="102" t="s">
        <v>251</v>
      </c>
      <c r="Q2333" s="166">
        <v>42993</v>
      </c>
      <c r="R2333" s="102" t="s">
        <v>16</v>
      </c>
      <c r="S2333" s="169" t="s">
        <v>16</v>
      </c>
      <c r="T2333" s="171">
        <v>42548</v>
      </c>
      <c r="U2333" s="172">
        <f t="shared" si="121"/>
        <v>2016</v>
      </c>
      <c r="V2333" s="172">
        <f t="shared" si="122"/>
        <v>6</v>
      </c>
      <c r="W2333" s="170" t="s">
        <v>981</v>
      </c>
      <c r="X2333" t="s">
        <v>892</v>
      </c>
      <c r="Y2333">
        <v>57</v>
      </c>
      <c r="Z2333">
        <v>8111</v>
      </c>
      <c r="AA2333" s="13">
        <f t="shared" si="120"/>
        <v>5268225</v>
      </c>
      <c r="AE2333" s="42"/>
      <c r="AL2333" s="88" t="s">
        <v>819</v>
      </c>
      <c r="AM2333" s="86">
        <v>763885</v>
      </c>
    </row>
    <row r="2334" spans="13:39" ht="15.75" hidden="1" thickBot="1">
      <c r="M2334" s="168">
        <v>7995</v>
      </c>
      <c r="N2334" s="230">
        <v>6701383</v>
      </c>
      <c r="O2334" s="102" t="s">
        <v>248</v>
      </c>
      <c r="P2334" s="102" t="s">
        <v>251</v>
      </c>
      <c r="Q2334" s="166">
        <v>42994</v>
      </c>
      <c r="R2334" s="102" t="s">
        <v>16</v>
      </c>
      <c r="S2334" s="169" t="s">
        <v>16</v>
      </c>
      <c r="T2334" s="171">
        <v>42548</v>
      </c>
      <c r="U2334" s="172">
        <f t="shared" si="121"/>
        <v>2016</v>
      </c>
      <c r="V2334" s="172">
        <f t="shared" si="122"/>
        <v>6</v>
      </c>
      <c r="W2334" s="170" t="s">
        <v>981</v>
      </c>
      <c r="X2334" t="s">
        <v>892</v>
      </c>
      <c r="Y2334">
        <v>24</v>
      </c>
      <c r="Z2334">
        <v>4007</v>
      </c>
      <c r="AA2334" s="13">
        <f t="shared" si="120"/>
        <v>2391000</v>
      </c>
      <c r="AE2334" s="42"/>
      <c r="AL2334" s="88" t="s">
        <v>819</v>
      </c>
      <c r="AM2334" s="86">
        <v>763885</v>
      </c>
    </row>
    <row r="2335" spans="13:39" ht="15.75" hidden="1" thickBot="1">
      <c r="M2335" s="168">
        <v>8060</v>
      </c>
      <c r="N2335" s="230">
        <v>8493920</v>
      </c>
      <c r="O2335" s="102" t="s">
        <v>248</v>
      </c>
      <c r="P2335" s="102" t="s">
        <v>251</v>
      </c>
      <c r="Q2335" s="166">
        <v>42995</v>
      </c>
      <c r="R2335" s="102" t="s">
        <v>16</v>
      </c>
      <c r="S2335" s="169" t="s">
        <v>16</v>
      </c>
      <c r="T2335" s="171">
        <v>42548</v>
      </c>
      <c r="U2335" s="172">
        <f t="shared" si="121"/>
        <v>2016</v>
      </c>
      <c r="V2335" s="172">
        <f t="shared" si="122"/>
        <v>6</v>
      </c>
      <c r="W2335" s="170" t="s">
        <v>981</v>
      </c>
      <c r="X2335" t="s">
        <v>892</v>
      </c>
      <c r="Y2335">
        <v>36</v>
      </c>
      <c r="Z2335">
        <v>4682</v>
      </c>
      <c r="AA2335" s="13">
        <f t="shared" si="120"/>
        <v>3762000</v>
      </c>
      <c r="AE2335" s="42"/>
      <c r="AL2335" s="88" t="s">
        <v>819</v>
      </c>
      <c r="AM2335" s="86">
        <v>763885</v>
      </c>
    </row>
    <row r="2336" spans="13:39" ht="15.75" hidden="1" thickBot="1">
      <c r="M2336" s="168">
        <v>7913</v>
      </c>
      <c r="N2336" s="230">
        <v>14827194</v>
      </c>
      <c r="O2336" s="102" t="s">
        <v>248</v>
      </c>
      <c r="P2336" s="102" t="s">
        <v>251</v>
      </c>
      <c r="Q2336" s="166">
        <v>42996</v>
      </c>
      <c r="R2336" s="102" t="s">
        <v>16</v>
      </c>
      <c r="S2336" s="169" t="s">
        <v>16</v>
      </c>
      <c r="T2336" s="171">
        <v>42548</v>
      </c>
      <c r="U2336" s="172">
        <f t="shared" si="121"/>
        <v>2016</v>
      </c>
      <c r="V2336" s="172">
        <f t="shared" si="122"/>
        <v>6</v>
      </c>
      <c r="W2336" s="170" t="s">
        <v>981</v>
      </c>
      <c r="X2336" t="s">
        <v>892</v>
      </c>
      <c r="Y2336">
        <v>48</v>
      </c>
      <c r="Z2336">
        <v>9447</v>
      </c>
      <c r="AA2336" s="13">
        <f t="shared" si="120"/>
        <v>4486800</v>
      </c>
      <c r="AE2336" s="42"/>
      <c r="AL2336" s="88" t="s">
        <v>819</v>
      </c>
      <c r="AM2336" s="86">
        <v>763885</v>
      </c>
    </row>
    <row r="2337" spans="13:39" ht="15.75" hidden="1" thickBot="1">
      <c r="M2337" s="168">
        <v>7965</v>
      </c>
      <c r="N2337" s="230">
        <v>6915580</v>
      </c>
      <c r="O2337" s="102" t="s">
        <v>248</v>
      </c>
      <c r="P2337" s="102" t="s">
        <v>251</v>
      </c>
      <c r="Q2337" s="166">
        <v>42997</v>
      </c>
      <c r="R2337" s="102" t="s">
        <v>16</v>
      </c>
      <c r="S2337" s="169" t="s">
        <v>16</v>
      </c>
      <c r="T2337" s="171">
        <v>42548</v>
      </c>
      <c r="U2337" s="172">
        <f t="shared" si="121"/>
        <v>2016</v>
      </c>
      <c r="V2337" s="172">
        <f t="shared" si="122"/>
        <v>6</v>
      </c>
      <c r="W2337" s="170" t="s">
        <v>981</v>
      </c>
      <c r="X2337" t="s">
        <v>892</v>
      </c>
      <c r="Y2337">
        <v>30</v>
      </c>
      <c r="Z2337">
        <v>3738</v>
      </c>
      <c r="AA2337" s="13">
        <f t="shared" si="120"/>
        <v>2921250</v>
      </c>
      <c r="AE2337" s="42"/>
      <c r="AL2337" s="88" t="s">
        <v>819</v>
      </c>
      <c r="AM2337" s="86">
        <v>765723</v>
      </c>
    </row>
    <row r="2338" spans="13:39" ht="15.75" hidden="1" thickBot="1">
      <c r="M2338" s="168">
        <v>7995</v>
      </c>
      <c r="N2338" s="230">
        <v>8553562</v>
      </c>
      <c r="O2338" s="102" t="s">
        <v>248</v>
      </c>
      <c r="P2338" s="102" t="s">
        <v>251</v>
      </c>
      <c r="Q2338" s="166">
        <v>42998</v>
      </c>
      <c r="R2338" s="102" t="s">
        <v>16</v>
      </c>
      <c r="S2338" s="169" t="s">
        <v>16</v>
      </c>
      <c r="T2338" s="171">
        <v>42548</v>
      </c>
      <c r="U2338" s="172">
        <f t="shared" si="121"/>
        <v>2016</v>
      </c>
      <c r="V2338" s="172">
        <f t="shared" si="122"/>
        <v>6</v>
      </c>
      <c r="W2338" s="170" t="s">
        <v>981</v>
      </c>
      <c r="X2338" t="s">
        <v>892</v>
      </c>
      <c r="Y2338">
        <v>36</v>
      </c>
      <c r="Z2338">
        <v>4742</v>
      </c>
      <c r="AA2338" s="13">
        <f t="shared" si="120"/>
        <v>3586500</v>
      </c>
      <c r="AE2338" s="42"/>
      <c r="AL2338" s="88" t="s">
        <v>819</v>
      </c>
      <c r="AM2338" s="86">
        <v>765723</v>
      </c>
    </row>
    <row r="2339" spans="13:39" ht="15.75" hidden="1" thickBot="1">
      <c r="M2339" s="168">
        <v>7918</v>
      </c>
      <c r="N2339" s="230">
        <v>8949485</v>
      </c>
      <c r="O2339" s="102" t="s">
        <v>248</v>
      </c>
      <c r="P2339" s="102" t="s">
        <v>251</v>
      </c>
      <c r="Q2339" s="166">
        <v>43243</v>
      </c>
      <c r="R2339" s="102" t="s">
        <v>16</v>
      </c>
      <c r="S2339" s="169" t="s">
        <v>16</v>
      </c>
      <c r="T2339" s="171">
        <v>42548</v>
      </c>
      <c r="U2339" s="172">
        <f t="shared" si="121"/>
        <v>2016</v>
      </c>
      <c r="V2339" s="172">
        <f t="shared" si="122"/>
        <v>6</v>
      </c>
      <c r="W2339" s="170" t="s">
        <v>981</v>
      </c>
      <c r="X2339" t="s">
        <v>892</v>
      </c>
      <c r="Y2339">
        <v>37</v>
      </c>
      <c r="Z2339">
        <v>5033</v>
      </c>
      <c r="AA2339" s="13">
        <f t="shared" si="120"/>
        <v>3472450</v>
      </c>
      <c r="AE2339" s="42"/>
      <c r="AL2339" s="88" t="s">
        <v>819</v>
      </c>
      <c r="AM2339" s="86">
        <v>7665753</v>
      </c>
    </row>
    <row r="2340" spans="13:39" ht="15.75" hidden="1" thickBot="1">
      <c r="M2340" s="102" t="s">
        <v>982</v>
      </c>
      <c r="N2340" s="230">
        <v>10485592</v>
      </c>
      <c r="O2340" s="102" t="s">
        <v>248</v>
      </c>
      <c r="P2340" s="102" t="s">
        <v>251</v>
      </c>
      <c r="Q2340" s="166">
        <v>43286</v>
      </c>
      <c r="R2340" s="102" t="s">
        <v>16</v>
      </c>
      <c r="S2340" s="169" t="s">
        <v>16</v>
      </c>
      <c r="T2340" s="171">
        <v>42548</v>
      </c>
      <c r="U2340" s="172">
        <f t="shared" si="121"/>
        <v>2016</v>
      </c>
      <c r="V2340" s="172">
        <f t="shared" si="122"/>
        <v>6</v>
      </c>
      <c r="W2340" s="170" t="s">
        <v>981</v>
      </c>
      <c r="X2340" t="s">
        <v>892</v>
      </c>
      <c r="Y2340">
        <v>43</v>
      </c>
      <c r="Z2340">
        <v>5649</v>
      </c>
      <c r="AA2340" s="13" t="str">
        <f t="shared" si="120"/>
        <v>אין הצעות למגרש זה</v>
      </c>
      <c r="AE2340" s="42"/>
      <c r="AL2340" s="88" t="s">
        <v>819</v>
      </c>
      <c r="AM2340" s="86">
        <v>766912</v>
      </c>
    </row>
    <row r="2341" spans="13:39" ht="15.75" hidden="1" thickBot="1">
      <c r="M2341" s="168">
        <v>7924</v>
      </c>
      <c r="N2341" s="230">
        <v>20680675</v>
      </c>
      <c r="O2341" s="102" t="s">
        <v>248</v>
      </c>
      <c r="P2341" s="102" t="s">
        <v>251</v>
      </c>
      <c r="Q2341" s="166">
        <v>34707</v>
      </c>
      <c r="R2341" s="102" t="s">
        <v>983</v>
      </c>
      <c r="S2341" s="169" t="s">
        <v>16</v>
      </c>
      <c r="T2341" s="171">
        <v>42534</v>
      </c>
      <c r="U2341" s="172">
        <f t="shared" si="121"/>
        <v>2016</v>
      </c>
      <c r="V2341" s="172">
        <f t="shared" si="122"/>
        <v>6</v>
      </c>
      <c r="W2341" s="170" t="s">
        <v>984</v>
      </c>
      <c r="X2341" t="s">
        <v>892</v>
      </c>
      <c r="Y2341">
        <v>92</v>
      </c>
      <c r="Z2341">
        <v>7658</v>
      </c>
      <c r="AA2341" s="13">
        <f t="shared" si="120"/>
        <v>8675600</v>
      </c>
      <c r="AE2341" s="42"/>
      <c r="AL2341" s="88" t="s">
        <v>819</v>
      </c>
      <c r="AM2341" s="86">
        <v>766912</v>
      </c>
    </row>
    <row r="2342" spans="13:39" ht="15.75" hidden="1" thickBot="1">
      <c r="M2342" s="168">
        <v>8084</v>
      </c>
      <c r="N2342" s="230">
        <v>87417257</v>
      </c>
      <c r="O2342" s="102" t="s">
        <v>248</v>
      </c>
      <c r="P2342" s="102" t="s">
        <v>251</v>
      </c>
      <c r="Q2342" s="166">
        <v>34715</v>
      </c>
      <c r="R2342" s="102" t="s">
        <v>983</v>
      </c>
      <c r="S2342" s="169" t="s">
        <v>16</v>
      </c>
      <c r="T2342" s="171">
        <v>42534</v>
      </c>
      <c r="U2342" s="172">
        <f t="shared" si="121"/>
        <v>2016</v>
      </c>
      <c r="V2342" s="172">
        <f t="shared" si="122"/>
        <v>6</v>
      </c>
      <c r="W2342" s="170" t="s">
        <v>984</v>
      </c>
      <c r="X2342" t="s">
        <v>892</v>
      </c>
      <c r="Y2342">
        <v>371</v>
      </c>
      <c r="Z2342">
        <v>34164</v>
      </c>
      <c r="AA2342" s="13">
        <f t="shared" si="120"/>
        <v>39437300</v>
      </c>
      <c r="AE2342" s="42"/>
      <c r="AL2342" s="88" t="s">
        <v>819</v>
      </c>
      <c r="AM2342" s="86">
        <v>766912</v>
      </c>
    </row>
    <row r="2343" spans="13:39" ht="15.75" hidden="1" thickBot="1">
      <c r="M2343" s="168">
        <v>7597</v>
      </c>
      <c r="N2343" s="230">
        <v>40128404</v>
      </c>
      <c r="O2343" s="102" t="s">
        <v>248</v>
      </c>
      <c r="P2343" s="102" t="s">
        <v>251</v>
      </c>
      <c r="Q2343" s="166">
        <v>41133</v>
      </c>
      <c r="R2343" s="102" t="s">
        <v>983</v>
      </c>
      <c r="S2343" s="169" t="s">
        <v>16</v>
      </c>
      <c r="T2343" s="171">
        <v>42534</v>
      </c>
      <c r="U2343" s="172">
        <f t="shared" si="121"/>
        <v>2016</v>
      </c>
      <c r="V2343" s="172">
        <f t="shared" si="122"/>
        <v>6</v>
      </c>
      <c r="W2343" s="170" t="s">
        <v>984</v>
      </c>
      <c r="X2343" t="s">
        <v>892</v>
      </c>
      <c r="Y2343">
        <v>199</v>
      </c>
      <c r="Z2343">
        <v>12800</v>
      </c>
      <c r="AA2343" s="13">
        <f t="shared" si="120"/>
        <v>13885225</v>
      </c>
      <c r="AE2343" s="42"/>
      <c r="AL2343" s="88" t="s">
        <v>819</v>
      </c>
      <c r="AM2343" s="86">
        <v>7680000</v>
      </c>
    </row>
    <row r="2344" spans="13:39" ht="15.75" hidden="1" thickBot="1">
      <c r="M2344" s="168">
        <v>7589</v>
      </c>
      <c r="N2344" s="230">
        <v>32149108</v>
      </c>
      <c r="O2344" s="102" t="s">
        <v>248</v>
      </c>
      <c r="P2344" s="102" t="s">
        <v>251</v>
      </c>
      <c r="Q2344" s="166">
        <v>43393</v>
      </c>
      <c r="R2344" s="102" t="s">
        <v>983</v>
      </c>
      <c r="S2344" s="169" t="s">
        <v>16</v>
      </c>
      <c r="T2344" s="171">
        <v>42534</v>
      </c>
      <c r="U2344" s="172">
        <f t="shared" si="121"/>
        <v>2016</v>
      </c>
      <c r="V2344" s="172">
        <f t="shared" si="122"/>
        <v>6</v>
      </c>
      <c r="W2344" s="170" t="s">
        <v>984</v>
      </c>
      <c r="X2344" t="s">
        <v>892</v>
      </c>
      <c r="Y2344">
        <v>145</v>
      </c>
      <c r="Z2344">
        <v>11701</v>
      </c>
      <c r="AA2344" s="13">
        <f t="shared" si="120"/>
        <v>10030375</v>
      </c>
      <c r="AE2344" s="42"/>
      <c r="AL2344" s="88" t="s">
        <v>819</v>
      </c>
      <c r="AM2344" s="86">
        <v>768101</v>
      </c>
    </row>
    <row r="2345" spans="13:39" ht="15.75" hidden="1" thickBot="1">
      <c r="M2345" s="168">
        <v>8178</v>
      </c>
      <c r="N2345" s="230">
        <v>32739987</v>
      </c>
      <c r="O2345" s="102" t="s">
        <v>248</v>
      </c>
      <c r="P2345" s="102" t="s">
        <v>251</v>
      </c>
      <c r="Q2345" s="166">
        <v>25588</v>
      </c>
      <c r="R2345" s="102" t="s">
        <v>985</v>
      </c>
      <c r="S2345" s="169" t="s">
        <v>16</v>
      </c>
      <c r="T2345" s="171">
        <v>42478</v>
      </c>
      <c r="U2345" s="172">
        <f t="shared" si="121"/>
        <v>2016</v>
      </c>
      <c r="V2345" s="172">
        <f t="shared" si="122"/>
        <v>4</v>
      </c>
      <c r="W2345" s="170" t="s">
        <v>986</v>
      </c>
      <c r="X2345" t="s">
        <v>892</v>
      </c>
      <c r="Y2345">
        <v>224</v>
      </c>
      <c r="Z2345">
        <v>13978</v>
      </c>
      <c r="AA2345" s="13">
        <f t="shared" si="120"/>
        <v>25390400</v>
      </c>
      <c r="AE2345" s="42"/>
      <c r="AL2345" s="88" t="s">
        <v>819</v>
      </c>
      <c r="AM2345" s="86">
        <v>768101</v>
      </c>
    </row>
    <row r="2346" spans="13:39" ht="15.75" hidden="1" thickBot="1">
      <c r="M2346" s="168">
        <v>8289</v>
      </c>
      <c r="N2346" s="230">
        <v>43595072</v>
      </c>
      <c r="O2346" s="102" t="s">
        <v>248</v>
      </c>
      <c r="P2346" s="102" t="s">
        <v>251</v>
      </c>
      <c r="Q2346" s="166">
        <v>34862</v>
      </c>
      <c r="R2346" s="102" t="s">
        <v>985</v>
      </c>
      <c r="S2346" s="169" t="s">
        <v>16</v>
      </c>
      <c r="T2346" s="171">
        <v>42478</v>
      </c>
      <c r="U2346" s="172">
        <f t="shared" si="121"/>
        <v>2016</v>
      </c>
      <c r="V2346" s="172">
        <f t="shared" si="122"/>
        <v>4</v>
      </c>
      <c r="W2346" s="170" t="s">
        <v>986</v>
      </c>
      <c r="X2346" t="s">
        <v>892</v>
      </c>
      <c r="Y2346">
        <v>264</v>
      </c>
      <c r="Z2346">
        <v>23320</v>
      </c>
      <c r="AA2346" s="13">
        <f t="shared" si="120"/>
        <v>32122200</v>
      </c>
      <c r="AE2346" s="42"/>
      <c r="AL2346" s="88" t="s">
        <v>819</v>
      </c>
      <c r="AM2346" s="86">
        <v>768101</v>
      </c>
    </row>
    <row r="2347" spans="13:39" ht="15.75" hidden="1" thickBot="1">
      <c r="M2347" s="168">
        <v>7795</v>
      </c>
      <c r="N2347" s="230">
        <v>61057133</v>
      </c>
      <c r="O2347" s="102" t="s">
        <v>248</v>
      </c>
      <c r="P2347" s="102" t="s">
        <v>251</v>
      </c>
      <c r="Q2347" s="166">
        <v>24781</v>
      </c>
      <c r="R2347" s="102" t="s">
        <v>16</v>
      </c>
      <c r="S2347" s="169" t="s">
        <v>16</v>
      </c>
      <c r="T2347" s="171">
        <v>42338</v>
      </c>
      <c r="U2347" s="172">
        <f t="shared" si="121"/>
        <v>2015</v>
      </c>
      <c r="V2347" s="172">
        <f t="shared" si="122"/>
        <v>11</v>
      </c>
      <c r="W2347" s="170" t="s">
        <v>987</v>
      </c>
      <c r="X2347" t="s">
        <v>892</v>
      </c>
      <c r="Y2347">
        <v>256</v>
      </c>
      <c r="Z2347">
        <v>13708</v>
      </c>
      <c r="AA2347" s="13">
        <f t="shared" si="120"/>
        <v>21664000</v>
      </c>
      <c r="AE2347" s="42"/>
      <c r="AL2347" s="88" t="s">
        <v>819</v>
      </c>
      <c r="AM2347" s="86">
        <v>773505</v>
      </c>
    </row>
    <row r="2348" spans="13:39" ht="15.75" hidden="1" thickBot="1">
      <c r="M2348" s="168">
        <v>7329720</v>
      </c>
      <c r="N2348" s="230">
        <v>18847151</v>
      </c>
      <c r="O2348" s="102" t="s">
        <v>244</v>
      </c>
      <c r="P2348" s="102" t="s">
        <v>245</v>
      </c>
      <c r="Q2348" s="166">
        <v>23680</v>
      </c>
      <c r="R2348" s="102" t="s">
        <v>988</v>
      </c>
      <c r="S2348" s="169" t="s">
        <v>16</v>
      </c>
      <c r="T2348" s="171">
        <v>42345</v>
      </c>
      <c r="U2348" s="172">
        <f t="shared" si="121"/>
        <v>2015</v>
      </c>
      <c r="V2348" s="172">
        <f t="shared" si="122"/>
        <v>12</v>
      </c>
      <c r="W2348" s="170" t="s">
        <v>989</v>
      </c>
      <c r="X2348" t="s">
        <v>892</v>
      </c>
      <c r="Y2348">
        <v>29</v>
      </c>
      <c r="Z2348">
        <v>8749</v>
      </c>
      <c r="AA2348" s="13">
        <f t="shared" si="120"/>
        <v>7329720</v>
      </c>
      <c r="AE2348" s="42"/>
      <c r="AL2348" s="88" t="s">
        <v>819</v>
      </c>
      <c r="AM2348" s="86">
        <v>7743435</v>
      </c>
    </row>
    <row r="2349" spans="13:39" ht="15.75" hidden="1" thickBot="1">
      <c r="M2349" s="168">
        <v>8188888</v>
      </c>
      <c r="N2349" s="230">
        <v>34244736</v>
      </c>
      <c r="O2349" s="102" t="s">
        <v>248</v>
      </c>
      <c r="P2349" s="102" t="s">
        <v>245</v>
      </c>
      <c r="Q2349" s="166">
        <v>23536</v>
      </c>
      <c r="R2349" s="102" t="s">
        <v>990</v>
      </c>
      <c r="S2349" s="169" t="s">
        <v>16</v>
      </c>
      <c r="T2349" s="171">
        <v>42144</v>
      </c>
      <c r="U2349" s="172">
        <f t="shared" si="121"/>
        <v>2015</v>
      </c>
      <c r="V2349" s="172">
        <f t="shared" si="122"/>
        <v>5</v>
      </c>
      <c r="W2349" s="170" t="s">
        <v>991</v>
      </c>
      <c r="X2349" t="s">
        <v>892</v>
      </c>
      <c r="Y2349">
        <v>157</v>
      </c>
      <c r="Z2349">
        <v>9819</v>
      </c>
      <c r="AA2349" s="13">
        <f t="shared" si="120"/>
        <v>8188888</v>
      </c>
      <c r="AE2349" s="42"/>
      <c r="AL2349" s="88" t="s">
        <v>819</v>
      </c>
      <c r="AM2349" s="86">
        <v>776532</v>
      </c>
    </row>
    <row r="2350" spans="13:39" ht="15.75" hidden="1" thickBot="1">
      <c r="M2350" s="168">
        <v>2555555</v>
      </c>
      <c r="N2350" s="230">
        <v>14747615</v>
      </c>
      <c r="O2350" s="102" t="s">
        <v>248</v>
      </c>
      <c r="P2350" s="102" t="s">
        <v>245</v>
      </c>
      <c r="Q2350" s="166">
        <v>23541</v>
      </c>
      <c r="R2350" s="102" t="s">
        <v>990</v>
      </c>
      <c r="S2350" s="169" t="s">
        <v>16</v>
      </c>
      <c r="T2350" s="171">
        <v>42144</v>
      </c>
      <c r="U2350" s="172">
        <f t="shared" si="121"/>
        <v>2015</v>
      </c>
      <c r="V2350" s="172">
        <f t="shared" si="122"/>
        <v>5</v>
      </c>
      <c r="W2350" s="170" t="s">
        <v>991</v>
      </c>
      <c r="X2350" t="s">
        <v>892</v>
      </c>
      <c r="Y2350">
        <v>63</v>
      </c>
      <c r="Z2350">
        <v>4510</v>
      </c>
      <c r="AA2350" s="13">
        <f t="shared" si="120"/>
        <v>2555555</v>
      </c>
      <c r="AE2350" s="42"/>
      <c r="AL2350" s="88" t="s">
        <v>819</v>
      </c>
      <c r="AM2350" s="86">
        <v>776532</v>
      </c>
    </row>
    <row r="2351" spans="13:39" ht="26.25" hidden="1" thickBot="1">
      <c r="M2351" s="102" t="s">
        <v>992</v>
      </c>
      <c r="N2351" s="230">
        <v>22667708</v>
      </c>
      <c r="O2351" s="102" t="s">
        <v>248</v>
      </c>
      <c r="P2351" s="102" t="s">
        <v>245</v>
      </c>
      <c r="Q2351" s="166">
        <v>23545</v>
      </c>
      <c r="R2351" s="102" t="s">
        <v>990</v>
      </c>
      <c r="S2351" s="169" t="s">
        <v>16</v>
      </c>
      <c r="T2351" s="171">
        <v>42144</v>
      </c>
      <c r="U2351" s="172">
        <f t="shared" si="121"/>
        <v>2015</v>
      </c>
      <c r="V2351" s="172">
        <f t="shared" si="122"/>
        <v>5</v>
      </c>
      <c r="W2351" s="170" t="s">
        <v>991</v>
      </c>
      <c r="X2351" t="s">
        <v>892</v>
      </c>
      <c r="Y2351">
        <v>92</v>
      </c>
      <c r="Z2351">
        <v>7658</v>
      </c>
      <c r="AA2351" s="13" t="str">
        <f t="shared" si="120"/>
        <v>הצעה יחידה ובהתאם לתנאי המכרז לא הוכרזו זוכים</v>
      </c>
      <c r="AE2351" s="42"/>
      <c r="AL2351" s="88" t="s">
        <v>819</v>
      </c>
      <c r="AM2351" s="86">
        <v>787340</v>
      </c>
    </row>
    <row r="2352" spans="13:39" ht="15.75" hidden="1" thickBot="1">
      <c r="M2352" s="102" t="s">
        <v>982</v>
      </c>
      <c r="N2352" s="230">
        <v>13252572</v>
      </c>
      <c r="O2352" s="102" t="s">
        <v>248</v>
      </c>
      <c r="P2352" s="102" t="s">
        <v>245</v>
      </c>
      <c r="Q2352" s="166">
        <v>34705</v>
      </c>
      <c r="R2352" s="102" t="s">
        <v>990</v>
      </c>
      <c r="S2352" s="169" t="s">
        <v>16</v>
      </c>
      <c r="T2352" s="171">
        <v>42144</v>
      </c>
      <c r="U2352" s="172">
        <f t="shared" si="121"/>
        <v>2015</v>
      </c>
      <c r="V2352" s="172">
        <f t="shared" si="122"/>
        <v>5</v>
      </c>
      <c r="W2352" s="170" t="s">
        <v>991</v>
      </c>
      <c r="X2352" t="s">
        <v>892</v>
      </c>
      <c r="Y2352">
        <v>45</v>
      </c>
      <c r="Z2352">
        <v>5331</v>
      </c>
      <c r="AA2352" s="13" t="str">
        <f t="shared" si="120"/>
        <v>אין הצעות למגרש זה</v>
      </c>
      <c r="AE2352" s="42"/>
      <c r="AL2352" s="88" t="s">
        <v>819</v>
      </c>
      <c r="AM2352" s="86">
        <v>787340</v>
      </c>
    </row>
    <row r="2353" spans="13:39" ht="15.75" hidden="1" thickBot="1">
      <c r="M2353" s="168">
        <v>1800000</v>
      </c>
      <c r="N2353" s="230">
        <v>86830338</v>
      </c>
      <c r="O2353" s="102" t="s">
        <v>248</v>
      </c>
      <c r="P2353" s="102" t="s">
        <v>245</v>
      </c>
      <c r="Q2353" s="166">
        <v>34706</v>
      </c>
      <c r="R2353" s="102" t="s">
        <v>990</v>
      </c>
      <c r="S2353" s="169" t="s">
        <v>16</v>
      </c>
      <c r="T2353" s="171">
        <v>42144</v>
      </c>
      <c r="U2353" s="172">
        <f t="shared" si="121"/>
        <v>2015</v>
      </c>
      <c r="V2353" s="172">
        <f t="shared" si="122"/>
        <v>5</v>
      </c>
      <c r="W2353" s="170" t="s">
        <v>991</v>
      </c>
      <c r="X2353" t="s">
        <v>892</v>
      </c>
      <c r="Y2353">
        <v>341</v>
      </c>
      <c r="Z2353">
        <v>22353</v>
      </c>
      <c r="AA2353" s="13">
        <f t="shared" si="120"/>
        <v>1800000</v>
      </c>
      <c r="AE2353" s="42"/>
      <c r="AL2353" s="88" t="s">
        <v>819</v>
      </c>
      <c r="AM2353" s="86">
        <v>787340</v>
      </c>
    </row>
    <row r="2354" spans="13:39" ht="15.75" hidden="1" thickBot="1">
      <c r="M2354" s="168">
        <v>13299000</v>
      </c>
      <c r="N2354" s="230">
        <v>64348266</v>
      </c>
      <c r="O2354" s="102" t="s">
        <v>248</v>
      </c>
      <c r="P2354" s="102" t="s">
        <v>245</v>
      </c>
      <c r="Q2354" s="166">
        <v>34709</v>
      </c>
      <c r="R2354" s="102" t="s">
        <v>990</v>
      </c>
      <c r="S2354" s="169" t="s">
        <v>16</v>
      </c>
      <c r="T2354" s="171">
        <v>42144</v>
      </c>
      <c r="U2354" s="172">
        <f t="shared" si="121"/>
        <v>2015</v>
      </c>
      <c r="V2354" s="172">
        <f t="shared" si="122"/>
        <v>5</v>
      </c>
      <c r="W2354" s="170" t="s">
        <v>991</v>
      </c>
      <c r="X2354" t="s">
        <v>892</v>
      </c>
      <c r="Y2354">
        <v>276</v>
      </c>
      <c r="Z2354">
        <v>20298</v>
      </c>
      <c r="AA2354" s="13">
        <f t="shared" si="120"/>
        <v>13299000</v>
      </c>
      <c r="AE2354" s="42"/>
      <c r="AL2354" s="88" t="s">
        <v>819</v>
      </c>
      <c r="AM2354" s="86">
        <v>789718</v>
      </c>
    </row>
    <row r="2355" spans="13:39" ht="15.75" hidden="1" thickBot="1">
      <c r="M2355" s="168">
        <v>23633334</v>
      </c>
      <c r="N2355" s="230">
        <v>91533542</v>
      </c>
      <c r="O2355" s="102" t="s">
        <v>248</v>
      </c>
      <c r="P2355" s="102" t="s">
        <v>245</v>
      </c>
      <c r="Q2355" s="166">
        <v>34710</v>
      </c>
      <c r="R2355" s="102" t="s">
        <v>990</v>
      </c>
      <c r="S2355" s="169" t="s">
        <v>16</v>
      </c>
      <c r="T2355" s="171">
        <v>42144</v>
      </c>
      <c r="U2355" s="172">
        <f t="shared" si="121"/>
        <v>2015</v>
      </c>
      <c r="V2355" s="172">
        <f t="shared" si="122"/>
        <v>5</v>
      </c>
      <c r="W2355" s="170" t="s">
        <v>991</v>
      </c>
      <c r="X2355" t="s">
        <v>892</v>
      </c>
      <c r="Y2355">
        <v>422</v>
      </c>
      <c r="Z2355">
        <v>26017</v>
      </c>
      <c r="AA2355" s="13">
        <f t="shared" si="120"/>
        <v>23633334</v>
      </c>
      <c r="AE2355" s="42"/>
      <c r="AL2355" s="94" t="s">
        <v>819</v>
      </c>
      <c r="AM2355" s="86">
        <v>7903566</v>
      </c>
    </row>
    <row r="2356" spans="13:39" ht="15.75" hidden="1" thickBot="1">
      <c r="M2356" s="168">
        <v>9050333</v>
      </c>
      <c r="N2356" s="230">
        <v>79560478</v>
      </c>
      <c r="O2356" s="102" t="s">
        <v>248</v>
      </c>
      <c r="P2356" s="102" t="s">
        <v>245</v>
      </c>
      <c r="Q2356" s="166">
        <v>34712</v>
      </c>
      <c r="R2356" s="102" t="s">
        <v>990</v>
      </c>
      <c r="S2356" s="169" t="s">
        <v>16</v>
      </c>
      <c r="T2356" s="171">
        <v>42144</v>
      </c>
      <c r="U2356" s="172">
        <f t="shared" si="121"/>
        <v>2015</v>
      </c>
      <c r="V2356" s="172">
        <f t="shared" si="122"/>
        <v>5</v>
      </c>
      <c r="W2356" s="170" t="s">
        <v>991</v>
      </c>
      <c r="X2356" t="s">
        <v>892</v>
      </c>
      <c r="Y2356">
        <v>326</v>
      </c>
      <c r="Z2356">
        <v>26578</v>
      </c>
      <c r="AA2356" s="13">
        <f t="shared" si="120"/>
        <v>9050333</v>
      </c>
      <c r="AE2356" s="42"/>
      <c r="AL2356" s="94" t="s">
        <v>819</v>
      </c>
      <c r="AM2356" s="86">
        <v>7925872</v>
      </c>
    </row>
    <row r="2357" spans="13:39" ht="26.25" hidden="1" thickBot="1">
      <c r="M2357" s="102" t="s">
        <v>992</v>
      </c>
      <c r="N2357" s="230">
        <v>46233835</v>
      </c>
      <c r="O2357" s="102" t="s">
        <v>248</v>
      </c>
      <c r="P2357" s="102" t="s">
        <v>245</v>
      </c>
      <c r="Q2357" s="166">
        <v>34714</v>
      </c>
      <c r="R2357" s="102" t="s">
        <v>990</v>
      </c>
      <c r="S2357" s="169" t="s">
        <v>16</v>
      </c>
      <c r="T2357" s="171">
        <v>42144</v>
      </c>
      <c r="U2357" s="172">
        <f t="shared" si="121"/>
        <v>2015</v>
      </c>
      <c r="V2357" s="172">
        <f t="shared" si="122"/>
        <v>5</v>
      </c>
      <c r="W2357" s="170" t="s">
        <v>991</v>
      </c>
      <c r="X2357" t="s">
        <v>892</v>
      </c>
      <c r="Y2357">
        <v>189</v>
      </c>
      <c r="Z2357">
        <v>15488</v>
      </c>
      <c r="AA2357" s="13" t="str">
        <f t="shared" si="120"/>
        <v>הצעה יחידה ובהתאם לתנאי המכרז לא הוכרזו זוכים</v>
      </c>
      <c r="AE2357" s="42"/>
      <c r="AL2357" s="88" t="s">
        <v>819</v>
      </c>
      <c r="AM2357" s="86">
        <v>795771</v>
      </c>
    </row>
    <row r="2358" spans="13:39" ht="15.75" hidden="1" thickBot="1">
      <c r="M2358" s="102" t="s">
        <v>982</v>
      </c>
      <c r="N2358" s="230">
        <v>36406501</v>
      </c>
      <c r="O2358" s="102" t="s">
        <v>248</v>
      </c>
      <c r="P2358" s="102" t="s">
        <v>245</v>
      </c>
      <c r="Q2358" s="166">
        <v>34715</v>
      </c>
      <c r="R2358" s="102" t="s">
        <v>990</v>
      </c>
      <c r="S2358" s="169" t="s">
        <v>16</v>
      </c>
      <c r="T2358" s="171">
        <v>42144</v>
      </c>
      <c r="U2358" s="172">
        <f t="shared" si="121"/>
        <v>2015</v>
      </c>
      <c r="V2358" s="172">
        <f t="shared" si="122"/>
        <v>5</v>
      </c>
      <c r="W2358" s="170" t="s">
        <v>991</v>
      </c>
      <c r="X2358" t="s">
        <v>892</v>
      </c>
      <c r="Y2358">
        <v>137</v>
      </c>
      <c r="Z2358">
        <v>13345</v>
      </c>
      <c r="AA2358" s="13" t="str">
        <f t="shared" si="120"/>
        <v>אין הצעות למגרש זה</v>
      </c>
      <c r="AE2358" s="42"/>
      <c r="AL2358" s="88" t="s">
        <v>819</v>
      </c>
      <c r="AM2358" s="86">
        <v>796960</v>
      </c>
    </row>
    <row r="2359" spans="13:39" ht="15.75" hidden="1" thickBot="1">
      <c r="M2359" s="168">
        <v>5180000</v>
      </c>
      <c r="N2359" s="230"/>
      <c r="O2359" s="102" t="s">
        <v>248</v>
      </c>
      <c r="P2359" s="102" t="s">
        <v>245</v>
      </c>
      <c r="Q2359" s="166">
        <v>1</v>
      </c>
      <c r="R2359" s="102" t="s">
        <v>993</v>
      </c>
      <c r="S2359" s="169" t="s">
        <v>16</v>
      </c>
      <c r="T2359" s="171">
        <v>41463</v>
      </c>
      <c r="U2359" s="172">
        <f t="shared" si="121"/>
        <v>2013</v>
      </c>
      <c r="V2359" s="172">
        <f t="shared" si="122"/>
        <v>7</v>
      </c>
      <c r="W2359" s="170" t="s">
        <v>994</v>
      </c>
      <c r="X2359" t="s">
        <v>894</v>
      </c>
      <c r="Y2359">
        <v>13</v>
      </c>
      <c r="Z2359">
        <v>3414</v>
      </c>
      <c r="AA2359" s="13">
        <f t="shared" si="120"/>
        <v>5180000</v>
      </c>
      <c r="AE2359" s="42"/>
      <c r="AL2359" s="88" t="s">
        <v>819</v>
      </c>
      <c r="AM2359" s="86">
        <v>796960</v>
      </c>
    </row>
    <row r="2360" spans="13:39" ht="15.75" hidden="1" thickBot="1">
      <c r="M2360" s="168">
        <v>6350000</v>
      </c>
      <c r="N2360" s="230">
        <v>208034</v>
      </c>
      <c r="O2360" s="102" t="s">
        <v>678</v>
      </c>
      <c r="P2360" s="102" t="s">
        <v>245</v>
      </c>
      <c r="Q2360" s="167" t="s">
        <v>254</v>
      </c>
      <c r="R2360" s="102" t="s">
        <v>16</v>
      </c>
      <c r="S2360" s="169" t="s">
        <v>16</v>
      </c>
      <c r="T2360" s="171">
        <v>41337</v>
      </c>
      <c r="U2360" s="172">
        <f t="shared" si="121"/>
        <v>2013</v>
      </c>
      <c r="V2360" s="172">
        <f t="shared" si="122"/>
        <v>3</v>
      </c>
      <c r="W2360" s="170" t="s">
        <v>995</v>
      </c>
      <c r="X2360" t="s">
        <v>894</v>
      </c>
      <c r="Y2360">
        <v>41</v>
      </c>
      <c r="Z2360">
        <v>4133</v>
      </c>
      <c r="AA2360" s="13">
        <f t="shared" si="120"/>
        <v>6350000</v>
      </c>
      <c r="AE2360" s="42"/>
      <c r="AL2360" s="88" t="s">
        <v>819</v>
      </c>
      <c r="AM2360" s="86">
        <v>796960</v>
      </c>
    </row>
    <row r="2361" spans="13:39" ht="15.75" hidden="1" thickBot="1">
      <c r="M2361" s="168">
        <v>1123000</v>
      </c>
      <c r="N2361" s="230">
        <v>5223</v>
      </c>
      <c r="O2361" s="102" t="s">
        <v>244</v>
      </c>
      <c r="P2361" s="102" t="s">
        <v>245</v>
      </c>
      <c r="Q2361" s="166">
        <v>1122</v>
      </c>
      <c r="R2361" s="102" t="s">
        <v>16</v>
      </c>
      <c r="S2361" s="169" t="s">
        <v>16</v>
      </c>
      <c r="T2361" s="171">
        <v>41129</v>
      </c>
      <c r="U2361" s="172">
        <f t="shared" si="121"/>
        <v>2012</v>
      </c>
      <c r="V2361" s="172">
        <f t="shared" si="122"/>
        <v>8</v>
      </c>
      <c r="W2361" s="170" t="s">
        <v>996</v>
      </c>
      <c r="X2361" t="s">
        <v>894</v>
      </c>
      <c r="Y2361">
        <v>1</v>
      </c>
      <c r="Z2361">
        <v>497</v>
      </c>
      <c r="AA2361" s="13">
        <f t="shared" si="120"/>
        <v>1123000</v>
      </c>
      <c r="AE2361" s="42"/>
      <c r="AL2361" s="88" t="s">
        <v>819</v>
      </c>
      <c r="AM2361" s="86">
        <v>796960</v>
      </c>
    </row>
    <row r="2362" spans="13:39" ht="15.75" hidden="1" thickBot="1">
      <c r="M2362" s="168">
        <v>1155000</v>
      </c>
      <c r="N2362" s="230">
        <v>5223</v>
      </c>
      <c r="O2362" s="102" t="s">
        <v>244</v>
      </c>
      <c r="P2362" s="102" t="s">
        <v>245</v>
      </c>
      <c r="Q2362" s="166">
        <v>1123</v>
      </c>
      <c r="R2362" s="102" t="s">
        <v>16</v>
      </c>
      <c r="S2362" s="169" t="s">
        <v>16</v>
      </c>
      <c r="T2362" s="171">
        <v>41129</v>
      </c>
      <c r="U2362" s="172">
        <f t="shared" si="121"/>
        <v>2012</v>
      </c>
      <c r="V2362" s="172">
        <f t="shared" si="122"/>
        <v>8</v>
      </c>
      <c r="W2362" s="170" t="s">
        <v>996</v>
      </c>
      <c r="X2362" t="s">
        <v>894</v>
      </c>
      <c r="Y2362">
        <v>1</v>
      </c>
      <c r="Z2362">
        <v>567</v>
      </c>
      <c r="AA2362" s="13">
        <f t="shared" si="120"/>
        <v>1155000</v>
      </c>
      <c r="AE2362" s="42"/>
      <c r="AL2362" s="88" t="s">
        <v>819</v>
      </c>
      <c r="AM2362" s="86">
        <v>796960</v>
      </c>
    </row>
    <row r="2363" spans="13:39" ht="15.75" hidden="1" thickBot="1">
      <c r="M2363" s="168">
        <v>1100712</v>
      </c>
      <c r="N2363" s="230">
        <v>5223</v>
      </c>
      <c r="O2363" s="102" t="s">
        <v>244</v>
      </c>
      <c r="P2363" s="102" t="s">
        <v>245</v>
      </c>
      <c r="Q2363" s="166">
        <v>1124</v>
      </c>
      <c r="R2363" s="102" t="s">
        <v>16</v>
      </c>
      <c r="S2363" s="169" t="s">
        <v>16</v>
      </c>
      <c r="T2363" s="171">
        <v>41129</v>
      </c>
      <c r="U2363" s="172">
        <f t="shared" si="121"/>
        <v>2012</v>
      </c>
      <c r="V2363" s="172">
        <f t="shared" si="122"/>
        <v>8</v>
      </c>
      <c r="W2363" s="170" t="s">
        <v>996</v>
      </c>
      <c r="X2363" t="s">
        <v>894</v>
      </c>
      <c r="Y2363">
        <v>1</v>
      </c>
      <c r="Z2363">
        <v>549</v>
      </c>
      <c r="AA2363" s="13">
        <f t="shared" si="120"/>
        <v>1100712</v>
      </c>
      <c r="AE2363" s="42"/>
      <c r="AL2363" s="88" t="s">
        <v>819</v>
      </c>
      <c r="AM2363" s="86">
        <v>796960</v>
      </c>
    </row>
    <row r="2364" spans="13:39" ht="15.75" hidden="1" thickBot="1">
      <c r="M2364" s="168">
        <v>1220000</v>
      </c>
      <c r="N2364" s="230">
        <v>5223</v>
      </c>
      <c r="O2364" s="102" t="s">
        <v>244</v>
      </c>
      <c r="P2364" s="102" t="s">
        <v>245</v>
      </c>
      <c r="Q2364" s="166">
        <v>1125</v>
      </c>
      <c r="R2364" s="102" t="s">
        <v>16</v>
      </c>
      <c r="S2364" s="169" t="s">
        <v>16</v>
      </c>
      <c r="T2364" s="171">
        <v>41129</v>
      </c>
      <c r="U2364" s="172">
        <f t="shared" si="121"/>
        <v>2012</v>
      </c>
      <c r="V2364" s="172">
        <f t="shared" si="122"/>
        <v>8</v>
      </c>
      <c r="W2364" s="170" t="s">
        <v>996</v>
      </c>
      <c r="X2364" t="s">
        <v>894</v>
      </c>
      <c r="Y2364">
        <v>1</v>
      </c>
      <c r="Z2364">
        <v>656</v>
      </c>
      <c r="AA2364" s="13">
        <f t="shared" si="120"/>
        <v>1220000</v>
      </c>
      <c r="AE2364" s="42"/>
      <c r="AL2364" s="94" t="s">
        <v>819</v>
      </c>
      <c r="AM2364" s="86">
        <v>7977116</v>
      </c>
    </row>
    <row r="2365" spans="13:39" ht="15.75" hidden="1" thickBot="1">
      <c r="M2365" s="168">
        <v>36818818</v>
      </c>
      <c r="N2365" s="230">
        <v>27424732</v>
      </c>
      <c r="O2365" s="102" t="s">
        <v>248</v>
      </c>
      <c r="P2365" s="102" t="s">
        <v>245</v>
      </c>
      <c r="Q2365" s="166">
        <v>23549</v>
      </c>
      <c r="R2365" s="102" t="s">
        <v>997</v>
      </c>
      <c r="S2365" s="169" t="s">
        <v>16</v>
      </c>
      <c r="T2365" s="171">
        <v>41032</v>
      </c>
      <c r="U2365" s="172">
        <f t="shared" si="121"/>
        <v>2012</v>
      </c>
      <c r="V2365" s="172">
        <f t="shared" si="122"/>
        <v>5</v>
      </c>
      <c r="W2365" s="170" t="s">
        <v>998</v>
      </c>
      <c r="X2365" t="s">
        <v>894</v>
      </c>
      <c r="Y2365">
        <v>256</v>
      </c>
      <c r="Z2365">
        <v>12628</v>
      </c>
      <c r="AA2365" s="13">
        <f t="shared" si="120"/>
        <v>36818818</v>
      </c>
      <c r="AE2365" s="42"/>
      <c r="AL2365" s="88" t="s">
        <v>819</v>
      </c>
      <c r="AM2365" s="86">
        <v>799338</v>
      </c>
    </row>
    <row r="2366" spans="13:39" ht="15.75" hidden="1" thickBot="1">
      <c r="M2366" s="168">
        <v>11277778</v>
      </c>
      <c r="N2366" s="230">
        <v>10388016</v>
      </c>
      <c r="O2366" s="102" t="s">
        <v>248</v>
      </c>
      <c r="P2366" s="102" t="s">
        <v>245</v>
      </c>
      <c r="Q2366" s="166">
        <v>24768</v>
      </c>
      <c r="R2366" s="102" t="s">
        <v>997</v>
      </c>
      <c r="S2366" s="169" t="s">
        <v>16</v>
      </c>
      <c r="T2366" s="171">
        <v>41032</v>
      </c>
      <c r="U2366" s="172">
        <f t="shared" si="121"/>
        <v>2012</v>
      </c>
      <c r="V2366" s="172">
        <f t="shared" si="122"/>
        <v>5</v>
      </c>
      <c r="W2366" s="170" t="s">
        <v>998</v>
      </c>
      <c r="X2366" t="s">
        <v>894</v>
      </c>
      <c r="Y2366">
        <v>33</v>
      </c>
      <c r="Z2366">
        <v>8723</v>
      </c>
      <c r="AA2366" s="13">
        <f t="shared" si="120"/>
        <v>11277778</v>
      </c>
      <c r="AE2366" s="42"/>
      <c r="AL2366" s="94" t="s">
        <v>819</v>
      </c>
      <c r="AM2366" s="86">
        <v>8112347</v>
      </c>
    </row>
    <row r="2367" spans="13:39" ht="15.75" hidden="1" thickBot="1">
      <c r="M2367" s="168">
        <v>22000000</v>
      </c>
      <c r="N2367" s="230">
        <v>25293406</v>
      </c>
      <c r="O2367" s="102" t="s">
        <v>248</v>
      </c>
      <c r="P2367" s="102" t="s">
        <v>245</v>
      </c>
      <c r="Q2367" s="166">
        <v>24769</v>
      </c>
      <c r="R2367" s="102" t="s">
        <v>997</v>
      </c>
      <c r="S2367" s="169" t="s">
        <v>16</v>
      </c>
      <c r="T2367" s="171">
        <v>41032</v>
      </c>
      <c r="U2367" s="172">
        <f t="shared" si="121"/>
        <v>2012</v>
      </c>
      <c r="V2367" s="172">
        <f t="shared" si="122"/>
        <v>5</v>
      </c>
      <c r="W2367" s="170" t="s">
        <v>998</v>
      </c>
      <c r="X2367" t="s">
        <v>894</v>
      </c>
      <c r="Y2367">
        <v>76</v>
      </c>
      <c r="Z2367">
        <v>21728</v>
      </c>
      <c r="AA2367" s="13">
        <f t="shared" si="120"/>
        <v>22000000</v>
      </c>
      <c r="AE2367" s="42"/>
      <c r="AL2367" s="88" t="s">
        <v>819</v>
      </c>
      <c r="AM2367" s="86">
        <v>831223</v>
      </c>
    </row>
    <row r="2368" spans="13:39" ht="15.75" hidden="1" thickBot="1">
      <c r="M2368" s="168">
        <v>10540260</v>
      </c>
      <c r="N2368" s="230">
        <v>23373100</v>
      </c>
      <c r="O2368" s="102" t="s">
        <v>248</v>
      </c>
      <c r="P2368" s="102" t="s">
        <v>245</v>
      </c>
      <c r="Q2368" s="166">
        <v>24770</v>
      </c>
      <c r="R2368" s="102" t="s">
        <v>997</v>
      </c>
      <c r="S2368" s="169" t="s">
        <v>16</v>
      </c>
      <c r="T2368" s="171">
        <v>41032</v>
      </c>
      <c r="U2368" s="172">
        <f t="shared" si="121"/>
        <v>2012</v>
      </c>
      <c r="V2368" s="172">
        <f t="shared" si="122"/>
        <v>5</v>
      </c>
      <c r="W2368" s="170" t="s">
        <v>998</v>
      </c>
      <c r="X2368" t="s">
        <v>894</v>
      </c>
      <c r="Y2368">
        <v>68</v>
      </c>
      <c r="Z2368">
        <v>20326</v>
      </c>
      <c r="AA2368" s="13">
        <f t="shared" si="120"/>
        <v>10540260</v>
      </c>
      <c r="AE2368" s="42"/>
      <c r="AL2368" s="88" t="s">
        <v>819</v>
      </c>
      <c r="AM2368" s="86">
        <v>831223</v>
      </c>
    </row>
    <row r="2369" spans="13:39" ht="15.75" hidden="1" thickBot="1">
      <c r="M2369" s="168">
        <v>28026777</v>
      </c>
      <c r="N2369" s="230">
        <v>18660440</v>
      </c>
      <c r="O2369" s="102" t="s">
        <v>248</v>
      </c>
      <c r="P2369" s="102" t="s">
        <v>245</v>
      </c>
      <c r="Q2369" s="166">
        <v>24774</v>
      </c>
      <c r="R2369" s="102" t="s">
        <v>997</v>
      </c>
      <c r="S2369" s="169" t="s">
        <v>16</v>
      </c>
      <c r="T2369" s="171">
        <v>41032</v>
      </c>
      <c r="U2369" s="172">
        <f t="shared" si="121"/>
        <v>2012</v>
      </c>
      <c r="V2369" s="172">
        <f t="shared" si="122"/>
        <v>5</v>
      </c>
      <c r="W2369" s="170" t="s">
        <v>998</v>
      </c>
      <c r="X2369" t="s">
        <v>894</v>
      </c>
      <c r="Y2369">
        <v>180</v>
      </c>
      <c r="Z2369">
        <v>8134</v>
      </c>
      <c r="AA2369" s="13">
        <f t="shared" si="120"/>
        <v>28026777</v>
      </c>
      <c r="AE2369" s="42"/>
      <c r="AL2369" s="88" t="s">
        <v>819</v>
      </c>
      <c r="AM2369" s="86">
        <v>831223</v>
      </c>
    </row>
    <row r="2370" spans="13:39" ht="15.75" hidden="1" thickBot="1">
      <c r="M2370" s="168">
        <v>18800888</v>
      </c>
      <c r="N2370" s="230">
        <v>20093804</v>
      </c>
      <c r="O2370" s="102" t="s">
        <v>248</v>
      </c>
      <c r="P2370" s="102" t="s">
        <v>245</v>
      </c>
      <c r="Q2370" s="166">
        <v>24775</v>
      </c>
      <c r="R2370" s="102" t="s">
        <v>997</v>
      </c>
      <c r="S2370" s="169" t="s">
        <v>16</v>
      </c>
      <c r="T2370" s="171">
        <v>41032</v>
      </c>
      <c r="U2370" s="172">
        <f t="shared" si="121"/>
        <v>2012</v>
      </c>
      <c r="V2370" s="172">
        <f t="shared" si="122"/>
        <v>5</v>
      </c>
      <c r="W2370" s="170" t="s">
        <v>998</v>
      </c>
      <c r="X2370" t="s">
        <v>894</v>
      </c>
      <c r="Y2370">
        <v>180</v>
      </c>
      <c r="Z2370">
        <v>9848</v>
      </c>
      <c r="AA2370" s="13">
        <f t="shared" si="120"/>
        <v>18800888</v>
      </c>
      <c r="AE2370" s="42"/>
      <c r="AL2370" s="88" t="s">
        <v>819</v>
      </c>
      <c r="AM2370" s="86">
        <v>831223</v>
      </c>
    </row>
    <row r="2371" spans="13:39" ht="15.75" hidden="1" thickBot="1">
      <c r="M2371" s="168">
        <v>22144888</v>
      </c>
      <c r="N2371" s="230">
        <v>19195356</v>
      </c>
      <c r="O2371" s="102" t="s">
        <v>248</v>
      </c>
      <c r="P2371" s="102" t="s">
        <v>245</v>
      </c>
      <c r="Q2371" s="166">
        <v>24776</v>
      </c>
      <c r="R2371" s="102" t="s">
        <v>997</v>
      </c>
      <c r="S2371" s="169" t="s">
        <v>16</v>
      </c>
      <c r="T2371" s="171">
        <v>41032</v>
      </c>
      <c r="U2371" s="172">
        <f t="shared" si="121"/>
        <v>2012</v>
      </c>
      <c r="V2371" s="172">
        <f t="shared" si="122"/>
        <v>5</v>
      </c>
      <c r="W2371" s="170" t="s">
        <v>998</v>
      </c>
      <c r="X2371" t="s">
        <v>894</v>
      </c>
      <c r="Y2371">
        <v>156</v>
      </c>
      <c r="Z2371">
        <v>10664</v>
      </c>
      <c r="AA2371" s="13">
        <f t="shared" si="120"/>
        <v>22144888</v>
      </c>
      <c r="AE2371" s="42"/>
      <c r="AL2371" s="88" t="s">
        <v>819</v>
      </c>
      <c r="AM2371" s="86">
        <v>831223</v>
      </c>
    </row>
    <row r="2372" spans="13:39" ht="15.75" hidden="1" thickBot="1">
      <c r="M2372" s="168">
        <v>24819118</v>
      </c>
      <c r="N2372" s="230">
        <v>18657932</v>
      </c>
      <c r="O2372" s="102" t="s">
        <v>248</v>
      </c>
      <c r="P2372" s="102" t="s">
        <v>245</v>
      </c>
      <c r="Q2372" s="166">
        <v>24778</v>
      </c>
      <c r="R2372" s="102" t="s">
        <v>997</v>
      </c>
      <c r="S2372" s="169" t="s">
        <v>16</v>
      </c>
      <c r="T2372" s="171">
        <v>41032</v>
      </c>
      <c r="U2372" s="172">
        <f t="shared" si="121"/>
        <v>2012</v>
      </c>
      <c r="V2372" s="172">
        <f t="shared" si="122"/>
        <v>5</v>
      </c>
      <c r="W2372" s="170" t="s">
        <v>998</v>
      </c>
      <c r="X2372" t="s">
        <v>894</v>
      </c>
      <c r="Y2372">
        <v>180</v>
      </c>
      <c r="Z2372">
        <v>8131</v>
      </c>
      <c r="AA2372" s="13">
        <f t="shared" ref="AA2372:AA2406" si="123">IF(M2372&lt;30000,Y2372*100*M2372*(1-$L$1)-$L$2*Y2372,M2372)</f>
        <v>24819118</v>
      </c>
      <c r="AE2372" s="42"/>
      <c r="AL2372" s="88" t="s">
        <v>819</v>
      </c>
      <c r="AM2372" s="86">
        <v>831223</v>
      </c>
    </row>
    <row r="2373" spans="13:39" ht="15.75" hidden="1" thickBot="1">
      <c r="M2373" s="168">
        <v>32777778</v>
      </c>
      <c r="N2373" s="230">
        <v>14065324</v>
      </c>
      <c r="O2373" s="102" t="s">
        <v>248</v>
      </c>
      <c r="P2373" s="102" t="s">
        <v>245</v>
      </c>
      <c r="Q2373" s="166">
        <v>24779</v>
      </c>
      <c r="R2373" s="102" t="s">
        <v>997</v>
      </c>
      <c r="S2373" s="169" t="s">
        <v>16</v>
      </c>
      <c r="T2373" s="171">
        <v>41032</v>
      </c>
      <c r="U2373" s="172">
        <f t="shared" si="121"/>
        <v>2012</v>
      </c>
      <c r="V2373" s="172">
        <f t="shared" si="122"/>
        <v>5</v>
      </c>
      <c r="W2373" s="170" t="s">
        <v>998</v>
      </c>
      <c r="X2373" t="s">
        <v>894</v>
      </c>
      <c r="Y2373">
        <v>144</v>
      </c>
      <c r="Z2373">
        <v>5475</v>
      </c>
      <c r="AA2373" s="13">
        <f t="shared" si="123"/>
        <v>32777778</v>
      </c>
      <c r="AE2373" s="42"/>
      <c r="AL2373" s="88" t="s">
        <v>819</v>
      </c>
      <c r="AM2373" s="86">
        <v>831807</v>
      </c>
    </row>
    <row r="2374" spans="13:39" ht="15.75" hidden="1" thickBot="1">
      <c r="M2374" s="168">
        <v>15977778</v>
      </c>
      <c r="N2374" s="230">
        <v>13183944</v>
      </c>
      <c r="O2374" s="102" t="s">
        <v>248</v>
      </c>
      <c r="P2374" s="102" t="s">
        <v>245</v>
      </c>
      <c r="Q2374" s="166">
        <v>23678</v>
      </c>
      <c r="R2374" s="102" t="s">
        <v>997</v>
      </c>
      <c r="S2374" s="169" t="s">
        <v>16</v>
      </c>
      <c r="T2374" s="171">
        <v>42324</v>
      </c>
      <c r="U2374" s="172">
        <f t="shared" si="121"/>
        <v>2015</v>
      </c>
      <c r="V2374" s="172">
        <f t="shared" si="122"/>
        <v>11</v>
      </c>
      <c r="W2374" s="170" t="s">
        <v>999</v>
      </c>
      <c r="X2374" t="s">
        <v>892</v>
      </c>
      <c r="Y2374">
        <v>33</v>
      </c>
      <c r="Z2374">
        <v>9452</v>
      </c>
      <c r="AA2374" s="13">
        <f t="shared" si="123"/>
        <v>15977778</v>
      </c>
      <c r="AE2374" s="42"/>
      <c r="AL2374" s="88" t="s">
        <v>819</v>
      </c>
      <c r="AM2374" s="86">
        <v>833601</v>
      </c>
    </row>
    <row r="2375" spans="13:39" ht="15.75" hidden="1" thickBot="1">
      <c r="M2375" s="102" t="s">
        <v>982</v>
      </c>
      <c r="N2375" s="230">
        <v>12474778</v>
      </c>
      <c r="O2375" s="102" t="s">
        <v>248</v>
      </c>
      <c r="P2375" s="102" t="s">
        <v>245</v>
      </c>
      <c r="Q2375" s="166">
        <v>23680</v>
      </c>
      <c r="R2375" s="102" t="s">
        <v>997</v>
      </c>
      <c r="S2375" s="169" t="s">
        <v>16</v>
      </c>
      <c r="T2375" s="171">
        <v>42324</v>
      </c>
      <c r="U2375" s="172">
        <f t="shared" ref="U2375:U2406" si="124">YEAR($T2375)</f>
        <v>2015</v>
      </c>
      <c r="V2375" s="172">
        <f t="shared" ref="V2375:V2406" si="125">MONTH($T2375)</f>
        <v>11</v>
      </c>
      <c r="W2375" s="170" t="s">
        <v>999</v>
      </c>
      <c r="X2375" t="s">
        <v>892</v>
      </c>
      <c r="Y2375">
        <v>29</v>
      </c>
      <c r="Z2375">
        <v>8752</v>
      </c>
      <c r="AA2375" s="13" t="str">
        <f t="shared" si="123"/>
        <v>אין הצעות למגרש זה</v>
      </c>
      <c r="AE2375" s="42"/>
      <c r="AL2375" s="94" t="s">
        <v>819</v>
      </c>
      <c r="AM2375" s="86">
        <v>8360477</v>
      </c>
    </row>
    <row r="2376" spans="13:39" ht="15.75" hidden="1" thickBot="1">
      <c r="M2376" s="168">
        <v>10762555</v>
      </c>
      <c r="N2376" s="231"/>
      <c r="O2376" s="104" t="s">
        <v>248</v>
      </c>
      <c r="P2376" s="104" t="s">
        <v>245</v>
      </c>
      <c r="Q2376" s="167" t="s">
        <v>254</v>
      </c>
      <c r="R2376" s="104" t="s">
        <v>16</v>
      </c>
      <c r="S2376" s="160" t="s">
        <v>16</v>
      </c>
      <c r="T2376" s="103">
        <v>39677</v>
      </c>
      <c r="U2376" s="172">
        <f t="shared" si="124"/>
        <v>2008</v>
      </c>
      <c r="V2376" s="172">
        <f t="shared" si="125"/>
        <v>8</v>
      </c>
      <c r="W2376" s="139" t="s">
        <v>1000</v>
      </c>
      <c r="X2376" t="s">
        <v>894</v>
      </c>
      <c r="Y2376">
        <v>8</v>
      </c>
      <c r="Z2376">
        <v>4864</v>
      </c>
      <c r="AA2376" s="13">
        <f t="shared" si="123"/>
        <v>10762555</v>
      </c>
      <c r="AE2376" s="42"/>
      <c r="AL2376" s="88" t="s">
        <v>819</v>
      </c>
      <c r="AM2376" s="86">
        <v>8487306</v>
      </c>
    </row>
    <row r="2377" spans="13:39" ht="15.75" hidden="1" thickBot="1">
      <c r="M2377" s="168">
        <v>6500000</v>
      </c>
      <c r="N2377" s="231">
        <v>7185211</v>
      </c>
      <c r="O2377" s="104" t="s">
        <v>248</v>
      </c>
      <c r="P2377" s="104" t="s">
        <v>245</v>
      </c>
      <c r="Q2377" s="166">
        <v>23537</v>
      </c>
      <c r="R2377" s="104" t="s">
        <v>1001</v>
      </c>
      <c r="S2377" s="160" t="s">
        <v>16</v>
      </c>
      <c r="T2377" s="103">
        <v>40760</v>
      </c>
      <c r="U2377" s="172">
        <f t="shared" si="124"/>
        <v>2011</v>
      </c>
      <c r="V2377" s="172">
        <f t="shared" si="125"/>
        <v>8</v>
      </c>
      <c r="W2377" s="139" t="s">
        <v>1002</v>
      </c>
      <c r="X2377" t="s">
        <v>894</v>
      </c>
      <c r="Y2377">
        <v>47</v>
      </c>
      <c r="Z2377">
        <v>3904</v>
      </c>
      <c r="AA2377" s="13">
        <f t="shared" si="123"/>
        <v>6500000</v>
      </c>
      <c r="AE2377" s="42"/>
      <c r="AL2377" s="88" t="s">
        <v>819</v>
      </c>
      <c r="AM2377" s="86">
        <v>857664</v>
      </c>
    </row>
    <row r="2378" spans="13:39" ht="15.75" hidden="1" thickBot="1">
      <c r="M2378" s="168">
        <v>25266818</v>
      </c>
      <c r="N2378" s="231">
        <v>17852830</v>
      </c>
      <c r="O2378" s="104" t="s">
        <v>248</v>
      </c>
      <c r="P2378" s="104" t="s">
        <v>245</v>
      </c>
      <c r="Q2378" s="166">
        <v>23539</v>
      </c>
      <c r="R2378" s="104" t="s">
        <v>1001</v>
      </c>
      <c r="S2378" s="160" t="s">
        <v>16</v>
      </c>
      <c r="T2378" s="103">
        <v>40760</v>
      </c>
      <c r="U2378" s="172">
        <f t="shared" si="124"/>
        <v>2011</v>
      </c>
      <c r="V2378" s="172">
        <f t="shared" si="125"/>
        <v>8</v>
      </c>
      <c r="W2378" s="139" t="s">
        <v>1002</v>
      </c>
      <c r="X2378" t="s">
        <v>894</v>
      </c>
      <c r="Y2378">
        <v>132</v>
      </c>
      <c r="Z2378">
        <v>8261</v>
      </c>
      <c r="AA2378" s="13">
        <f t="shared" si="123"/>
        <v>25266818</v>
      </c>
      <c r="AE2378" s="42"/>
      <c r="AL2378" s="94" t="s">
        <v>819</v>
      </c>
      <c r="AM2378" s="86">
        <v>85937199</v>
      </c>
    </row>
    <row r="2379" spans="13:39" ht="15.75" hidden="1" thickBot="1">
      <c r="M2379" s="168">
        <v>11885888</v>
      </c>
      <c r="N2379" s="231">
        <v>7434729</v>
      </c>
      <c r="O2379" s="104" t="s">
        <v>248</v>
      </c>
      <c r="P2379" s="104" t="s">
        <v>245</v>
      </c>
      <c r="Q2379" s="166">
        <v>23540</v>
      </c>
      <c r="R2379" s="104" t="s">
        <v>1001</v>
      </c>
      <c r="S2379" s="160" t="s">
        <v>16</v>
      </c>
      <c r="T2379" s="103">
        <v>40760</v>
      </c>
      <c r="U2379" s="172">
        <f t="shared" si="124"/>
        <v>2011</v>
      </c>
      <c r="V2379" s="172">
        <f t="shared" si="125"/>
        <v>8</v>
      </c>
      <c r="W2379" s="139" t="s">
        <v>1002</v>
      </c>
      <c r="X2379" t="s">
        <v>894</v>
      </c>
      <c r="Y2379">
        <v>53</v>
      </c>
      <c r="Z2379">
        <v>3578</v>
      </c>
      <c r="AA2379" s="13">
        <f t="shared" si="123"/>
        <v>11885888</v>
      </c>
      <c r="AE2379" s="42"/>
      <c r="AL2379" s="88" t="s">
        <v>819</v>
      </c>
      <c r="AM2379" s="86">
        <v>868513</v>
      </c>
    </row>
    <row r="2380" spans="13:39" ht="15.75" hidden="1" thickBot="1">
      <c r="M2380" s="168">
        <v>15499260</v>
      </c>
      <c r="N2380" s="231">
        <v>13928092</v>
      </c>
      <c r="O2380" s="104" t="s">
        <v>248</v>
      </c>
      <c r="P2380" s="104" t="s">
        <v>245</v>
      </c>
      <c r="Q2380" s="166">
        <v>23542</v>
      </c>
      <c r="R2380" s="104" t="s">
        <v>1001</v>
      </c>
      <c r="S2380" s="160" t="s">
        <v>16</v>
      </c>
      <c r="T2380" s="103">
        <v>40760</v>
      </c>
      <c r="U2380" s="172">
        <f t="shared" si="124"/>
        <v>2011</v>
      </c>
      <c r="V2380" s="172">
        <f t="shared" si="125"/>
        <v>8</v>
      </c>
      <c r="W2380" s="139" t="s">
        <v>1002</v>
      </c>
      <c r="X2380" t="s">
        <v>894</v>
      </c>
      <c r="Y2380">
        <v>91</v>
      </c>
      <c r="Z2380">
        <v>7569</v>
      </c>
      <c r="AA2380" s="13">
        <f t="shared" si="123"/>
        <v>15499260</v>
      </c>
      <c r="AE2380" s="42"/>
      <c r="AL2380" s="88" t="s">
        <v>819</v>
      </c>
      <c r="AM2380" s="86">
        <v>869513</v>
      </c>
    </row>
    <row r="2381" spans="13:39" ht="15.75" hidden="1" thickBot="1">
      <c r="M2381" s="102" t="s">
        <v>1003</v>
      </c>
      <c r="N2381" s="231">
        <v>7350966</v>
      </c>
      <c r="O2381" s="104" t="s">
        <v>248</v>
      </c>
      <c r="P2381" s="104" t="s">
        <v>245</v>
      </c>
      <c r="Q2381" s="166">
        <v>23543</v>
      </c>
      <c r="R2381" s="104" t="s">
        <v>1001</v>
      </c>
      <c r="S2381" s="160" t="s">
        <v>16</v>
      </c>
      <c r="T2381" s="103">
        <v>40760</v>
      </c>
      <c r="U2381" s="172">
        <f t="shared" si="124"/>
        <v>2011</v>
      </c>
      <c r="V2381" s="172">
        <f t="shared" si="125"/>
        <v>8</v>
      </c>
      <c r="W2381" s="139" t="s">
        <v>1002</v>
      </c>
      <c r="X2381" t="s">
        <v>894</v>
      </c>
      <c r="Y2381">
        <v>48</v>
      </c>
      <c r="Z2381">
        <v>4004</v>
      </c>
      <c r="AA2381" s="13" t="str">
        <f t="shared" si="123"/>
        <v>המציע זכה במגרש אחר</v>
      </c>
      <c r="AE2381" s="42"/>
      <c r="AL2381" s="94" t="s">
        <v>819</v>
      </c>
      <c r="AM2381" s="86">
        <v>8701063</v>
      </c>
    </row>
    <row r="2382" spans="13:39" ht="15.75" hidden="1" thickBot="1">
      <c r="M2382" s="168">
        <v>10852999</v>
      </c>
      <c r="N2382" s="231">
        <v>7180206</v>
      </c>
      <c r="O2382" s="104" t="s">
        <v>248</v>
      </c>
      <c r="P2382" s="104" t="s">
        <v>245</v>
      </c>
      <c r="Q2382" s="166">
        <v>23546</v>
      </c>
      <c r="R2382" s="104" t="s">
        <v>1001</v>
      </c>
      <c r="S2382" s="160" t="s">
        <v>16</v>
      </c>
      <c r="T2382" s="103">
        <v>40760</v>
      </c>
      <c r="U2382" s="172">
        <f t="shared" si="124"/>
        <v>2011</v>
      </c>
      <c r="V2382" s="172">
        <f t="shared" si="125"/>
        <v>8</v>
      </c>
      <c r="W2382" s="139" t="s">
        <v>1002</v>
      </c>
      <c r="X2382" t="s">
        <v>894</v>
      </c>
      <c r="Y2382">
        <v>53</v>
      </c>
      <c r="Z2382">
        <v>3342</v>
      </c>
      <c r="AA2382" s="13">
        <f t="shared" si="123"/>
        <v>10852999</v>
      </c>
      <c r="AE2382" s="42"/>
      <c r="AL2382" s="88" t="s">
        <v>819</v>
      </c>
      <c r="AM2382" s="86">
        <v>8760001</v>
      </c>
    </row>
    <row r="2383" spans="13:39" ht="15.75" hidden="1" thickBot="1">
      <c r="M2383" s="168">
        <v>13100000</v>
      </c>
      <c r="N2383" s="231">
        <v>8774091</v>
      </c>
      <c r="O2383" s="104" t="s">
        <v>248</v>
      </c>
      <c r="P2383" s="104" t="s">
        <v>245</v>
      </c>
      <c r="Q2383" s="166">
        <v>23548</v>
      </c>
      <c r="R2383" s="104" t="s">
        <v>1001</v>
      </c>
      <c r="S2383" s="160" t="s">
        <v>16</v>
      </c>
      <c r="T2383" s="103">
        <v>40760</v>
      </c>
      <c r="U2383" s="172">
        <f t="shared" si="124"/>
        <v>2011</v>
      </c>
      <c r="V2383" s="172">
        <f t="shared" si="125"/>
        <v>8</v>
      </c>
      <c r="W2383" s="139" t="s">
        <v>1002</v>
      </c>
      <c r="X2383" t="s">
        <v>894</v>
      </c>
      <c r="Y2383">
        <v>57</v>
      </c>
      <c r="Z2383">
        <v>4783</v>
      </c>
      <c r="AA2383" s="13">
        <f t="shared" si="123"/>
        <v>13100000</v>
      </c>
      <c r="AE2383" s="42"/>
      <c r="AL2383" s="94" t="s">
        <v>819</v>
      </c>
      <c r="AM2383" s="86">
        <v>8913543</v>
      </c>
    </row>
    <row r="2384" spans="13:39" ht="15.75" hidden="1" thickBot="1">
      <c r="M2384" s="168">
        <v>78960000</v>
      </c>
      <c r="N2384" s="231">
        <v>31575918</v>
      </c>
      <c r="O2384" s="104" t="s">
        <v>248</v>
      </c>
      <c r="P2384" s="104" t="s">
        <v>245</v>
      </c>
      <c r="Q2384" s="166">
        <v>23550</v>
      </c>
      <c r="R2384" s="104" t="s">
        <v>1001</v>
      </c>
      <c r="S2384" s="160" t="s">
        <v>16</v>
      </c>
      <c r="T2384" s="103">
        <v>40760</v>
      </c>
      <c r="U2384" s="172">
        <f t="shared" si="124"/>
        <v>2011</v>
      </c>
      <c r="V2384" s="172">
        <f t="shared" si="125"/>
        <v>8</v>
      </c>
      <c r="W2384" s="139" t="s">
        <v>1002</v>
      </c>
      <c r="X2384" t="s">
        <v>894</v>
      </c>
      <c r="Y2384">
        <v>256</v>
      </c>
      <c r="Z2384">
        <v>11870</v>
      </c>
      <c r="AA2384" s="13">
        <f t="shared" si="123"/>
        <v>78960000</v>
      </c>
      <c r="AE2384" s="42"/>
      <c r="AL2384" s="88" t="s">
        <v>819</v>
      </c>
      <c r="AM2384" s="86">
        <v>8914589</v>
      </c>
    </row>
    <row r="2385" spans="13:39" ht="15.75" hidden="1" thickBot="1">
      <c r="M2385" s="168">
        <v>40500000</v>
      </c>
      <c r="N2385" s="231">
        <v>27678874</v>
      </c>
      <c r="O2385" s="104" t="s">
        <v>248</v>
      </c>
      <c r="P2385" s="104" t="s">
        <v>245</v>
      </c>
      <c r="Q2385" s="166">
        <v>23551</v>
      </c>
      <c r="R2385" s="104" t="s">
        <v>1001</v>
      </c>
      <c r="S2385" s="160" t="s">
        <v>16</v>
      </c>
      <c r="T2385" s="103">
        <v>40760</v>
      </c>
      <c r="U2385" s="172">
        <f t="shared" si="124"/>
        <v>2011</v>
      </c>
      <c r="V2385" s="172">
        <f t="shared" si="125"/>
        <v>8</v>
      </c>
      <c r="W2385" s="139" t="s">
        <v>1002</v>
      </c>
      <c r="X2385" t="s">
        <v>894</v>
      </c>
      <c r="Y2385">
        <v>192</v>
      </c>
      <c r="Z2385">
        <v>13950</v>
      </c>
      <c r="AA2385" s="13">
        <f t="shared" si="123"/>
        <v>40500000</v>
      </c>
      <c r="AE2385" s="42"/>
      <c r="AL2385" s="94" t="s">
        <v>819</v>
      </c>
      <c r="AM2385" s="86">
        <v>8936640</v>
      </c>
    </row>
    <row r="2386" spans="13:39" ht="15.75" hidden="1" thickBot="1">
      <c r="M2386" s="168">
        <v>85000000</v>
      </c>
      <c r="N2386" s="231">
        <v>31694092</v>
      </c>
      <c r="O2386" s="104" t="s">
        <v>248</v>
      </c>
      <c r="P2386" s="104" t="s">
        <v>245</v>
      </c>
      <c r="Q2386" s="166">
        <v>23552</v>
      </c>
      <c r="R2386" s="104" t="s">
        <v>1001</v>
      </c>
      <c r="S2386" s="160" t="s">
        <v>16</v>
      </c>
      <c r="T2386" s="103">
        <v>40760</v>
      </c>
      <c r="U2386" s="172">
        <f t="shared" si="124"/>
        <v>2011</v>
      </c>
      <c r="V2386" s="172">
        <f t="shared" si="125"/>
        <v>8</v>
      </c>
      <c r="W2386" s="139" t="s">
        <v>1002</v>
      </c>
      <c r="X2386" t="s">
        <v>894</v>
      </c>
      <c r="Y2386">
        <v>256</v>
      </c>
      <c r="Z2386">
        <v>11810</v>
      </c>
      <c r="AA2386" s="13">
        <f t="shared" si="123"/>
        <v>85000000</v>
      </c>
      <c r="AE2386" s="42"/>
      <c r="AL2386" s="94" t="s">
        <v>819</v>
      </c>
      <c r="AM2386" s="86">
        <v>8937196</v>
      </c>
    </row>
    <row r="2387" spans="13:39" ht="15.75" hidden="1" thickBot="1">
      <c r="M2387" s="168">
        <v>11299147</v>
      </c>
      <c r="N2387" s="231">
        <v>11445784</v>
      </c>
      <c r="O2387" s="104" t="s">
        <v>248</v>
      </c>
      <c r="P2387" s="104" t="s">
        <v>245</v>
      </c>
      <c r="Q2387" s="166">
        <v>23677</v>
      </c>
      <c r="R2387" s="104" t="s">
        <v>1001</v>
      </c>
      <c r="S2387" s="160" t="s">
        <v>16</v>
      </c>
      <c r="T2387" s="103">
        <v>40760</v>
      </c>
      <c r="U2387" s="172">
        <f t="shared" si="124"/>
        <v>2011</v>
      </c>
      <c r="V2387" s="172">
        <f t="shared" si="125"/>
        <v>8</v>
      </c>
      <c r="W2387" s="139" t="s">
        <v>1002</v>
      </c>
      <c r="X2387" t="s">
        <v>894</v>
      </c>
      <c r="Y2387">
        <v>28</v>
      </c>
      <c r="Z2387">
        <v>8541</v>
      </c>
      <c r="AA2387" s="13">
        <f t="shared" si="123"/>
        <v>11299147</v>
      </c>
      <c r="AE2387" s="42"/>
      <c r="AL2387" s="94" t="s">
        <v>819</v>
      </c>
      <c r="AM2387" s="86">
        <v>8972077</v>
      </c>
    </row>
    <row r="2388" spans="13:39" ht="15.75" hidden="1" thickBot="1">
      <c r="M2388" s="102" t="s">
        <v>1004</v>
      </c>
      <c r="N2388" s="231">
        <v>12809304</v>
      </c>
      <c r="O2388" s="104" t="s">
        <v>248</v>
      </c>
      <c r="P2388" s="104" t="s">
        <v>245</v>
      </c>
      <c r="Q2388" s="166">
        <v>23678</v>
      </c>
      <c r="R2388" s="104" t="s">
        <v>1001</v>
      </c>
      <c r="S2388" s="160" t="s">
        <v>16</v>
      </c>
      <c r="T2388" s="103">
        <v>40760</v>
      </c>
      <c r="U2388" s="172">
        <f t="shared" si="124"/>
        <v>2011</v>
      </c>
      <c r="V2388" s="172">
        <f t="shared" si="125"/>
        <v>8</v>
      </c>
      <c r="W2388" s="139" t="s">
        <v>1002</v>
      </c>
      <c r="X2388" t="s">
        <v>894</v>
      </c>
      <c r="Y2388">
        <v>33</v>
      </c>
      <c r="Z2388">
        <v>9452</v>
      </c>
      <c r="AA2388" s="13" t="str">
        <f t="shared" si="123"/>
        <v>הצעות לא תקינות</v>
      </c>
      <c r="AE2388" s="42"/>
      <c r="AL2388" s="94" t="s">
        <v>819</v>
      </c>
      <c r="AM2388" s="86">
        <v>8989766</v>
      </c>
    </row>
    <row r="2389" spans="13:39" ht="15.75" hidden="1" thickBot="1">
      <c r="M2389" s="168">
        <v>9601101</v>
      </c>
      <c r="N2389" s="231">
        <v>14851651</v>
      </c>
      <c r="O2389" s="104" t="s">
        <v>248</v>
      </c>
      <c r="P2389" s="104" t="s">
        <v>245</v>
      </c>
      <c r="Q2389" s="166">
        <v>23679</v>
      </c>
      <c r="R2389" s="104" t="s">
        <v>1001</v>
      </c>
      <c r="S2389" s="160" t="s">
        <v>16</v>
      </c>
      <c r="T2389" s="103">
        <v>40760</v>
      </c>
      <c r="U2389" s="172">
        <f t="shared" si="124"/>
        <v>2011</v>
      </c>
      <c r="V2389" s="172">
        <f t="shared" si="125"/>
        <v>8</v>
      </c>
      <c r="W2389" s="139" t="s">
        <v>1002</v>
      </c>
      <c r="X2389" t="s">
        <v>894</v>
      </c>
      <c r="Y2389">
        <v>38</v>
      </c>
      <c r="Z2389">
        <v>11240</v>
      </c>
      <c r="AA2389" s="13">
        <f t="shared" si="123"/>
        <v>9601101</v>
      </c>
      <c r="AE2389" s="42"/>
      <c r="AL2389" s="88" t="s">
        <v>819</v>
      </c>
      <c r="AM2389" s="86">
        <v>903087</v>
      </c>
    </row>
    <row r="2390" spans="13:39" ht="15.75" hidden="1" thickBot="1">
      <c r="M2390" s="102" t="s">
        <v>1004</v>
      </c>
      <c r="N2390" s="231">
        <v>12120478</v>
      </c>
      <c r="O2390" s="104" t="s">
        <v>248</v>
      </c>
      <c r="P2390" s="104" t="s">
        <v>245</v>
      </c>
      <c r="Q2390" s="166">
        <v>23680</v>
      </c>
      <c r="R2390" s="104" t="s">
        <v>1001</v>
      </c>
      <c r="S2390" s="160" t="s">
        <v>16</v>
      </c>
      <c r="T2390" s="103">
        <v>40760</v>
      </c>
      <c r="U2390" s="172">
        <f t="shared" si="124"/>
        <v>2011</v>
      </c>
      <c r="V2390" s="172">
        <f t="shared" si="125"/>
        <v>8</v>
      </c>
      <c r="W2390" s="139" t="s">
        <v>1002</v>
      </c>
      <c r="X2390" t="s">
        <v>894</v>
      </c>
      <c r="Y2390">
        <v>29</v>
      </c>
      <c r="Z2390">
        <v>8752</v>
      </c>
      <c r="AA2390" s="13" t="str">
        <f t="shared" si="123"/>
        <v>הצעות לא תקינות</v>
      </c>
      <c r="AE2390" s="42"/>
      <c r="AL2390" s="88" t="s">
        <v>819</v>
      </c>
      <c r="AM2390" s="86">
        <v>9061200</v>
      </c>
    </row>
    <row r="2391" spans="13:39" ht="15.75" hidden="1" thickBot="1">
      <c r="M2391" s="168">
        <v>8550000</v>
      </c>
      <c r="N2391" s="231">
        <v>13811311</v>
      </c>
      <c r="O2391" s="104" t="s">
        <v>248</v>
      </c>
      <c r="P2391" s="104" t="s">
        <v>245</v>
      </c>
      <c r="Q2391" s="166">
        <v>23681</v>
      </c>
      <c r="R2391" s="104" t="s">
        <v>1001</v>
      </c>
      <c r="S2391" s="160" t="s">
        <v>16</v>
      </c>
      <c r="T2391" s="103">
        <v>40760</v>
      </c>
      <c r="U2391" s="172">
        <f t="shared" si="124"/>
        <v>2011</v>
      </c>
      <c r="V2391" s="172">
        <f t="shared" si="125"/>
        <v>8</v>
      </c>
      <c r="W2391" s="139" t="s">
        <v>1002</v>
      </c>
      <c r="X2391" t="s">
        <v>894</v>
      </c>
      <c r="Y2391">
        <v>36</v>
      </c>
      <c r="Z2391">
        <v>10108</v>
      </c>
      <c r="AA2391" s="13">
        <f t="shared" si="123"/>
        <v>8550000</v>
      </c>
      <c r="AE2391" s="42"/>
      <c r="AL2391" s="88" t="s">
        <v>819</v>
      </c>
      <c r="AM2391" s="86">
        <v>914441</v>
      </c>
    </row>
    <row r="2392" spans="13:39" ht="15.75" hidden="1" thickBot="1">
      <c r="M2392" s="168">
        <v>20222222</v>
      </c>
      <c r="N2392" s="231"/>
      <c r="O2392" s="104" t="s">
        <v>248</v>
      </c>
      <c r="P2392" s="104" t="s">
        <v>245</v>
      </c>
      <c r="Q2392" s="167" t="s">
        <v>254</v>
      </c>
      <c r="R2392" s="104" t="s">
        <v>1005</v>
      </c>
      <c r="S2392" s="160" t="s">
        <v>16</v>
      </c>
      <c r="T2392" s="103">
        <v>40817</v>
      </c>
      <c r="U2392" s="172">
        <f t="shared" si="124"/>
        <v>2011</v>
      </c>
      <c r="V2392" s="172">
        <f t="shared" si="125"/>
        <v>10</v>
      </c>
      <c r="W2392" s="139" t="s">
        <v>1006</v>
      </c>
      <c r="X2392" t="s">
        <v>894</v>
      </c>
      <c r="Y2392">
        <v>21</v>
      </c>
      <c r="Z2392">
        <v>13080</v>
      </c>
      <c r="AA2392" s="13">
        <f t="shared" si="123"/>
        <v>20222222</v>
      </c>
      <c r="AE2392" s="42"/>
      <c r="AL2392" s="88" t="s">
        <v>819</v>
      </c>
      <c r="AM2392" s="86">
        <v>9157533</v>
      </c>
    </row>
    <row r="2393" spans="13:39" ht="15.75" hidden="1" thickBot="1">
      <c r="M2393" s="168">
        <v>27665555</v>
      </c>
      <c r="N2393" s="231"/>
      <c r="O2393" s="104" t="s">
        <v>248</v>
      </c>
      <c r="P2393" s="104" t="s">
        <v>245</v>
      </c>
      <c r="Q2393" s="167" t="s">
        <v>256</v>
      </c>
      <c r="R2393" s="104" t="s">
        <v>1005</v>
      </c>
      <c r="S2393" s="160" t="s">
        <v>16</v>
      </c>
      <c r="T2393" s="103">
        <v>40817</v>
      </c>
      <c r="U2393" s="172">
        <f t="shared" si="124"/>
        <v>2011</v>
      </c>
      <c r="V2393" s="172">
        <f t="shared" si="125"/>
        <v>10</v>
      </c>
      <c r="W2393" s="139" t="s">
        <v>1006</v>
      </c>
      <c r="X2393" t="s">
        <v>894</v>
      </c>
      <c r="Y2393">
        <v>55</v>
      </c>
      <c r="Z2393">
        <v>10307</v>
      </c>
      <c r="AA2393" s="13">
        <f t="shared" si="123"/>
        <v>27665555</v>
      </c>
      <c r="AE2393" s="42"/>
      <c r="AL2393" s="88" t="s">
        <v>819</v>
      </c>
      <c r="AM2393" s="86">
        <v>918887</v>
      </c>
    </row>
    <row r="2394" spans="13:39" ht="15.75" hidden="1" thickBot="1">
      <c r="M2394" s="168">
        <v>600250</v>
      </c>
      <c r="N2394" s="231">
        <v>1361400</v>
      </c>
      <c r="O2394" s="104" t="s">
        <v>294</v>
      </c>
      <c r="P2394" s="104" t="s">
        <v>245</v>
      </c>
      <c r="Q2394" s="167" t="s">
        <v>254</v>
      </c>
      <c r="R2394" s="104" t="s">
        <v>16</v>
      </c>
      <c r="S2394" s="160" t="s">
        <v>16</v>
      </c>
      <c r="T2394" s="103">
        <v>40324</v>
      </c>
      <c r="U2394" s="172">
        <f t="shared" si="124"/>
        <v>2010</v>
      </c>
      <c r="V2394" s="172">
        <f t="shared" si="125"/>
        <v>5</v>
      </c>
      <c r="W2394" s="139" t="s">
        <v>1007</v>
      </c>
      <c r="X2394" t="s">
        <v>894</v>
      </c>
      <c r="Z2394">
        <v>323</v>
      </c>
      <c r="AA2394" s="13">
        <f t="shared" si="123"/>
        <v>600250</v>
      </c>
      <c r="AE2394" s="42"/>
      <c r="AL2394" s="94" t="s">
        <v>819</v>
      </c>
      <c r="AM2394" s="86">
        <v>92402908</v>
      </c>
    </row>
    <row r="2395" spans="13:39" ht="15.75" hidden="1" thickBot="1">
      <c r="M2395" s="168">
        <v>4332000</v>
      </c>
      <c r="N2395" s="231">
        <v>595715</v>
      </c>
      <c r="O2395" s="104" t="s">
        <v>248</v>
      </c>
      <c r="P2395" s="104" t="s">
        <v>245</v>
      </c>
      <c r="Q2395" s="167" t="s">
        <v>1008</v>
      </c>
      <c r="R2395" s="104" t="s">
        <v>1005</v>
      </c>
      <c r="S2395" s="160" t="s">
        <v>16</v>
      </c>
      <c r="T2395" s="103">
        <v>40233</v>
      </c>
      <c r="U2395" s="172">
        <f t="shared" si="124"/>
        <v>2010</v>
      </c>
      <c r="V2395" s="172">
        <f t="shared" si="125"/>
        <v>2</v>
      </c>
      <c r="W2395" s="139" t="s">
        <v>1009</v>
      </c>
      <c r="X2395" t="s">
        <v>894</v>
      </c>
      <c r="Y2395">
        <v>12</v>
      </c>
      <c r="Z2395">
        <v>1175</v>
      </c>
      <c r="AA2395" s="13">
        <f t="shared" si="123"/>
        <v>4332000</v>
      </c>
      <c r="AE2395" s="42"/>
      <c r="AL2395" s="88" t="s">
        <v>819</v>
      </c>
      <c r="AM2395" s="86">
        <v>9336767</v>
      </c>
    </row>
    <row r="2396" spans="13:39" ht="15.75" hidden="1" thickBot="1">
      <c r="M2396" s="168">
        <v>1075000</v>
      </c>
      <c r="N2396" s="231"/>
      <c r="O2396" s="104" t="s">
        <v>244</v>
      </c>
      <c r="P2396" s="104" t="s">
        <v>245</v>
      </c>
      <c r="Q2396" s="166">
        <v>192</v>
      </c>
      <c r="R2396" s="104" t="s">
        <v>16</v>
      </c>
      <c r="S2396" s="160" t="s">
        <v>16</v>
      </c>
      <c r="T2396" s="171">
        <v>42333</v>
      </c>
      <c r="U2396" s="172">
        <f t="shared" si="124"/>
        <v>2015</v>
      </c>
      <c r="V2396" s="172">
        <f t="shared" si="125"/>
        <v>11</v>
      </c>
      <c r="W2396" s="139" t="s">
        <v>1010</v>
      </c>
      <c r="X2396" t="s">
        <v>894</v>
      </c>
      <c r="Y2396">
        <v>2</v>
      </c>
      <c r="Z2396">
        <v>507</v>
      </c>
      <c r="AA2396" s="13">
        <f t="shared" si="123"/>
        <v>1075000</v>
      </c>
      <c r="AE2396" s="42"/>
      <c r="AL2396" s="94" t="s">
        <v>819</v>
      </c>
      <c r="AM2396" s="86">
        <v>9362760</v>
      </c>
    </row>
    <row r="2397" spans="13:39" ht="15.75" hidden="1" thickBot="1">
      <c r="M2397" s="168">
        <v>1111111</v>
      </c>
      <c r="N2397" s="231"/>
      <c r="O2397" s="104" t="s">
        <v>244</v>
      </c>
      <c r="P2397" s="104" t="s">
        <v>245</v>
      </c>
      <c r="Q2397" s="166">
        <v>193</v>
      </c>
      <c r="R2397" s="104" t="s">
        <v>16</v>
      </c>
      <c r="S2397" s="160" t="s">
        <v>16</v>
      </c>
      <c r="T2397" s="171">
        <v>42333</v>
      </c>
      <c r="U2397" s="172">
        <f t="shared" si="124"/>
        <v>2015</v>
      </c>
      <c r="V2397" s="172">
        <f t="shared" si="125"/>
        <v>11</v>
      </c>
      <c r="W2397" s="139" t="s">
        <v>1010</v>
      </c>
      <c r="X2397" t="s">
        <v>894</v>
      </c>
      <c r="Y2397">
        <v>2</v>
      </c>
      <c r="Z2397">
        <v>506</v>
      </c>
      <c r="AA2397" s="13">
        <f t="shared" si="123"/>
        <v>1111111</v>
      </c>
      <c r="AE2397" s="42"/>
      <c r="AL2397" s="88" t="s">
        <v>819</v>
      </c>
      <c r="AM2397" s="86">
        <v>940503</v>
      </c>
    </row>
    <row r="2398" spans="13:39" ht="15.75" hidden="1" thickBot="1">
      <c r="M2398" s="168">
        <v>1188888</v>
      </c>
      <c r="N2398" s="231"/>
      <c r="O2398" s="104" t="s">
        <v>244</v>
      </c>
      <c r="P2398" s="104" t="s">
        <v>245</v>
      </c>
      <c r="Q2398" s="167" t="s">
        <v>1011</v>
      </c>
      <c r="R2398" s="104" t="s">
        <v>16</v>
      </c>
      <c r="S2398" s="160" t="s">
        <v>16</v>
      </c>
      <c r="T2398" s="103">
        <v>39969</v>
      </c>
      <c r="U2398" s="172">
        <f t="shared" si="124"/>
        <v>2009</v>
      </c>
      <c r="V2398" s="172">
        <f t="shared" si="125"/>
        <v>6</v>
      </c>
      <c r="W2398" s="139" t="s">
        <v>1012</v>
      </c>
      <c r="X2398" t="s">
        <v>894</v>
      </c>
      <c r="Y2398">
        <v>2</v>
      </c>
      <c r="Z2398">
        <v>514</v>
      </c>
      <c r="AA2398" s="13">
        <f t="shared" si="123"/>
        <v>1188888</v>
      </c>
      <c r="AE2398" s="42"/>
      <c r="AL2398" s="88" t="s">
        <v>819</v>
      </c>
      <c r="AM2398" s="86">
        <v>944226</v>
      </c>
    </row>
    <row r="2399" spans="13:39" ht="15.75" hidden="1" thickBot="1">
      <c r="M2399" s="168">
        <v>137000000</v>
      </c>
      <c r="N2399" s="231"/>
      <c r="O2399" s="104" t="s">
        <v>248</v>
      </c>
      <c r="P2399" s="104" t="s">
        <v>245</v>
      </c>
      <c r="Q2399" s="166">
        <v>17</v>
      </c>
      <c r="R2399" s="104" t="s">
        <v>1013</v>
      </c>
      <c r="S2399" s="160" t="s">
        <v>16</v>
      </c>
      <c r="T2399" s="103">
        <v>39861</v>
      </c>
      <c r="U2399" s="172">
        <f t="shared" si="124"/>
        <v>2009</v>
      </c>
      <c r="V2399" s="172">
        <f t="shared" si="125"/>
        <v>2</v>
      </c>
      <c r="W2399" s="139" t="s">
        <v>1014</v>
      </c>
      <c r="X2399" t="s">
        <v>894</v>
      </c>
      <c r="Y2399">
        <v>1072</v>
      </c>
      <c r="Z2399">
        <v>391647</v>
      </c>
      <c r="AA2399" s="13">
        <f t="shared" si="123"/>
        <v>137000000</v>
      </c>
      <c r="AE2399" s="42"/>
      <c r="AL2399" s="94" t="s">
        <v>819</v>
      </c>
      <c r="AM2399" s="86">
        <v>9623771</v>
      </c>
    </row>
    <row r="2400" spans="13:39" ht="15.75" hidden="1" thickBot="1">
      <c r="M2400" s="168">
        <v>900000</v>
      </c>
      <c r="N2400" s="231">
        <v>81134</v>
      </c>
      <c r="O2400" s="104" t="s">
        <v>244</v>
      </c>
      <c r="P2400" s="104" t="s">
        <v>245</v>
      </c>
      <c r="Q2400" s="167" t="s">
        <v>1015</v>
      </c>
      <c r="R2400" s="104" t="s">
        <v>16</v>
      </c>
      <c r="S2400" s="160" t="s">
        <v>16</v>
      </c>
      <c r="T2400" s="103">
        <v>39715</v>
      </c>
      <c r="U2400" s="172">
        <f t="shared" si="124"/>
        <v>2008</v>
      </c>
      <c r="V2400" s="172">
        <f t="shared" si="125"/>
        <v>9</v>
      </c>
      <c r="W2400" s="139" t="s">
        <v>1016</v>
      </c>
      <c r="X2400" t="s">
        <v>894</v>
      </c>
      <c r="Y2400">
        <v>1</v>
      </c>
      <c r="Z2400">
        <v>461</v>
      </c>
      <c r="AA2400" s="13">
        <f t="shared" si="123"/>
        <v>900000</v>
      </c>
      <c r="AE2400" s="42"/>
      <c r="AL2400" s="94" t="s">
        <v>819</v>
      </c>
      <c r="AM2400" s="86">
        <v>9676118</v>
      </c>
    </row>
    <row r="2401" spans="13:39" ht="15.75" hidden="1" thickBot="1">
      <c r="M2401" s="168">
        <v>1041000</v>
      </c>
      <c r="N2401" s="231"/>
      <c r="O2401" s="104" t="s">
        <v>244</v>
      </c>
      <c r="P2401" s="104" t="s">
        <v>245</v>
      </c>
      <c r="Q2401" s="167" t="s">
        <v>1011</v>
      </c>
      <c r="R2401" s="104" t="s">
        <v>16</v>
      </c>
      <c r="S2401" s="160" t="s">
        <v>16</v>
      </c>
      <c r="T2401" s="103">
        <v>39715</v>
      </c>
      <c r="U2401" s="172">
        <f t="shared" si="124"/>
        <v>2008</v>
      </c>
      <c r="V2401" s="172">
        <f t="shared" si="125"/>
        <v>9</v>
      </c>
      <c r="W2401" s="139" t="s">
        <v>1017</v>
      </c>
      <c r="X2401" t="s">
        <v>894</v>
      </c>
      <c r="Y2401">
        <v>2</v>
      </c>
      <c r="Z2401">
        <v>514</v>
      </c>
      <c r="AA2401" s="13">
        <f t="shared" si="123"/>
        <v>1041000</v>
      </c>
      <c r="AE2401" s="42"/>
      <c r="AL2401" s="88" t="s">
        <v>819</v>
      </c>
      <c r="AM2401" s="86">
        <v>9692840</v>
      </c>
    </row>
    <row r="2402" spans="13:39" ht="15.75" hidden="1" thickBot="1">
      <c r="M2402" s="102" t="s">
        <v>982</v>
      </c>
      <c r="N2402" s="231"/>
      <c r="O2402" s="104" t="s">
        <v>678</v>
      </c>
      <c r="P2402" s="104" t="s">
        <v>245</v>
      </c>
      <c r="Q2402" s="167" t="s">
        <v>245</v>
      </c>
      <c r="R2402" s="104" t="s">
        <v>1013</v>
      </c>
      <c r="S2402" s="160" t="s">
        <v>16</v>
      </c>
      <c r="T2402" s="103">
        <v>39680</v>
      </c>
      <c r="U2402" s="172">
        <f t="shared" si="124"/>
        <v>2008</v>
      </c>
      <c r="V2402" s="172">
        <f t="shared" si="125"/>
        <v>8</v>
      </c>
      <c r="W2402" s="139" t="s">
        <v>1018</v>
      </c>
      <c r="X2402" t="s">
        <v>894</v>
      </c>
      <c r="AA2402" s="13" t="str">
        <f t="shared" si="123"/>
        <v>אין הצעות למגרש זה</v>
      </c>
      <c r="AE2402" s="42"/>
      <c r="AL2402" s="88" t="s">
        <v>819</v>
      </c>
      <c r="AM2402" s="86">
        <v>9692840</v>
      </c>
    </row>
    <row r="2403" spans="13:39" ht="15.75" hidden="1" thickBot="1">
      <c r="M2403" s="168">
        <v>442000</v>
      </c>
      <c r="N2403" s="231">
        <v>179712</v>
      </c>
      <c r="O2403" s="104" t="s">
        <v>244</v>
      </c>
      <c r="P2403" s="104" t="s">
        <v>245</v>
      </c>
      <c r="Q2403" s="167" t="s">
        <v>1019</v>
      </c>
      <c r="R2403" s="104" t="s">
        <v>16</v>
      </c>
      <c r="S2403" s="160" t="s">
        <v>16</v>
      </c>
      <c r="T2403" s="103">
        <v>39337</v>
      </c>
      <c r="U2403" s="172">
        <f t="shared" si="124"/>
        <v>2007</v>
      </c>
      <c r="V2403" s="172">
        <f t="shared" si="125"/>
        <v>9</v>
      </c>
      <c r="W2403" s="139" t="s">
        <v>1020</v>
      </c>
      <c r="X2403" t="s">
        <v>894</v>
      </c>
      <c r="Y2403">
        <v>2</v>
      </c>
      <c r="Z2403">
        <v>375</v>
      </c>
      <c r="AA2403" s="13">
        <f t="shared" si="123"/>
        <v>442000</v>
      </c>
      <c r="AE2403" s="42"/>
      <c r="AL2403" s="88" t="s">
        <v>819</v>
      </c>
      <c r="AM2403" s="86">
        <v>973197</v>
      </c>
    </row>
    <row r="2404" spans="13:39" ht="15.75" hidden="1" thickBot="1">
      <c r="M2404" s="168">
        <v>391300</v>
      </c>
      <c r="N2404" s="231"/>
      <c r="O2404" s="104" t="s">
        <v>244</v>
      </c>
      <c r="P2404" s="104" t="s">
        <v>245</v>
      </c>
      <c r="Q2404" s="167" t="s">
        <v>1021</v>
      </c>
      <c r="R2404" s="104" t="s">
        <v>16</v>
      </c>
      <c r="S2404" s="160" t="s">
        <v>16</v>
      </c>
      <c r="T2404" s="103">
        <v>39090</v>
      </c>
      <c r="U2404" s="172">
        <f t="shared" si="124"/>
        <v>2007</v>
      </c>
      <c r="V2404" s="172">
        <f t="shared" si="125"/>
        <v>1</v>
      </c>
      <c r="W2404" s="139" t="s">
        <v>1022</v>
      </c>
      <c r="X2404" t="s">
        <v>894</v>
      </c>
      <c r="Y2404">
        <v>1</v>
      </c>
      <c r="Z2404">
        <v>428</v>
      </c>
      <c r="AA2404" s="13">
        <f t="shared" si="123"/>
        <v>391300</v>
      </c>
      <c r="AE2404" s="42"/>
      <c r="AL2404" s="88" t="s">
        <v>819</v>
      </c>
      <c r="AM2404" s="86">
        <v>9733005</v>
      </c>
    </row>
    <row r="2405" spans="13:39" ht="15.75" hidden="1" thickBot="1">
      <c r="M2405" s="168">
        <v>911773</v>
      </c>
      <c r="N2405" s="231"/>
      <c r="O2405" s="104" t="s">
        <v>244</v>
      </c>
      <c r="P2405" s="104" t="s">
        <v>245</v>
      </c>
      <c r="Q2405" s="166" t="s">
        <v>1023</v>
      </c>
      <c r="R2405" s="104" t="s">
        <v>16</v>
      </c>
      <c r="S2405" s="160" t="s">
        <v>16</v>
      </c>
      <c r="T2405" s="103">
        <v>39090</v>
      </c>
      <c r="U2405" s="172">
        <f t="shared" si="124"/>
        <v>2007</v>
      </c>
      <c r="V2405" s="172">
        <f t="shared" si="125"/>
        <v>1</v>
      </c>
      <c r="W2405" s="139" t="s">
        <v>1022</v>
      </c>
      <c r="X2405" t="s">
        <v>894</v>
      </c>
      <c r="Y2405">
        <v>2</v>
      </c>
      <c r="Z2405">
        <v>680</v>
      </c>
      <c r="AA2405" s="13">
        <f t="shared" si="123"/>
        <v>911773</v>
      </c>
      <c r="AE2405" s="42"/>
      <c r="AL2405" s="94" t="s">
        <v>819</v>
      </c>
      <c r="AM2405" s="86">
        <v>9761278</v>
      </c>
    </row>
    <row r="2406" spans="13:39" ht="15.75" hidden="1" thickBot="1">
      <c r="M2406" s="168">
        <v>11111111</v>
      </c>
      <c r="N2406" s="231"/>
      <c r="O2406" s="104" t="s">
        <v>1024</v>
      </c>
      <c r="P2406" s="104" t="s">
        <v>245</v>
      </c>
      <c r="Q2406" s="167" t="s">
        <v>254</v>
      </c>
      <c r="R2406" s="104" t="s">
        <v>16</v>
      </c>
      <c r="S2406" s="160" t="s">
        <v>16</v>
      </c>
      <c r="T2406" s="103">
        <v>37717</v>
      </c>
      <c r="U2406" s="172">
        <f t="shared" si="124"/>
        <v>2003</v>
      </c>
      <c r="V2406" s="172">
        <f t="shared" si="125"/>
        <v>4</v>
      </c>
      <c r="W2406" s="139" t="s">
        <v>1025</v>
      </c>
      <c r="X2406" t="s">
        <v>894</v>
      </c>
      <c r="Z2406">
        <v>38156</v>
      </c>
      <c r="AA2406" s="13">
        <f t="shared" si="123"/>
        <v>11111111</v>
      </c>
      <c r="AE2406" s="42"/>
      <c r="AL2406" s="88" t="s">
        <v>819</v>
      </c>
      <c r="AM2406" s="86">
        <v>9763686</v>
      </c>
    </row>
    <row r="2407" spans="13:39" hidden="1">
      <c r="AE2407" s="42"/>
      <c r="AL2407" s="94" t="s">
        <v>819</v>
      </c>
      <c r="AM2407" s="86">
        <v>9776708</v>
      </c>
    </row>
    <row r="2408" spans="13:39" hidden="1">
      <c r="AE2408" s="42"/>
      <c r="AL2408" s="88" t="s">
        <v>819</v>
      </c>
      <c r="AM2408" s="86">
        <v>9779306</v>
      </c>
    </row>
    <row r="2409" spans="13:39" hidden="1">
      <c r="AE2409" s="42"/>
      <c r="AL2409" s="88" t="s">
        <v>819</v>
      </c>
      <c r="AM2409" s="86">
        <v>9779306</v>
      </c>
    </row>
    <row r="2410" spans="13:39" hidden="1">
      <c r="AE2410" s="42"/>
      <c r="AL2410" s="88" t="s">
        <v>819</v>
      </c>
      <c r="AM2410" s="86">
        <v>9781221</v>
      </c>
    </row>
    <row r="2411" spans="13:39" hidden="1">
      <c r="AE2411" s="42"/>
      <c r="AL2411" s="94" t="s">
        <v>819</v>
      </c>
      <c r="AM2411" s="86">
        <v>9794988</v>
      </c>
    </row>
    <row r="2412" spans="13:39" hidden="1">
      <c r="AE2412" s="42"/>
      <c r="AL2412" s="88" t="s">
        <v>819</v>
      </c>
      <c r="AM2412" s="86">
        <v>9842343</v>
      </c>
    </row>
    <row r="2413" spans="13:39" hidden="1">
      <c r="AE2413" s="42"/>
      <c r="AL2413" s="88" t="s">
        <v>819</v>
      </c>
      <c r="AM2413" s="86">
        <v>9842343</v>
      </c>
    </row>
    <row r="2414" spans="13:39" hidden="1">
      <c r="AE2414" s="42"/>
      <c r="AL2414" s="94" t="s">
        <v>819</v>
      </c>
      <c r="AM2414" s="86">
        <v>9853043</v>
      </c>
    </row>
    <row r="2415" spans="13:39" hidden="1">
      <c r="AE2415" s="42"/>
      <c r="AL2415" s="88" t="s">
        <v>819</v>
      </c>
      <c r="AM2415" s="86">
        <v>9874273</v>
      </c>
    </row>
    <row r="2416" spans="13:39" hidden="1">
      <c r="AE2416" s="42"/>
      <c r="AL2416" s="88" t="s">
        <v>819</v>
      </c>
      <c r="AM2416" s="86">
        <v>9907053</v>
      </c>
    </row>
    <row r="2417" spans="13:39" hidden="1">
      <c r="AE2417" s="42"/>
      <c r="AL2417" s="94" t="s">
        <v>819</v>
      </c>
      <c r="AM2417" s="86">
        <v>9930351</v>
      </c>
    </row>
    <row r="2418" spans="13:39" hidden="1">
      <c r="AE2418" s="42"/>
      <c r="AL2418" s="88" t="s">
        <v>819</v>
      </c>
      <c r="AM2418" s="86">
        <v>995108</v>
      </c>
    </row>
    <row r="2419" spans="13:39">
      <c r="AE2419" s="15"/>
    </row>
    <row r="2431" spans="13:39" ht="15.75" thickBot="1"/>
    <row r="2432" spans="13:39" ht="15.75" thickBot="1">
      <c r="M2432" s="149"/>
      <c r="N2432" s="146"/>
      <c r="O2432" s="146"/>
      <c r="P2432" s="146"/>
      <c r="Q2432" s="147"/>
      <c r="R2432" s="146"/>
      <c r="S2432" s="151"/>
      <c r="T2432" s="148"/>
      <c r="U2432" s="164"/>
      <c r="V2432" s="164"/>
    </row>
    <row r="2433" spans="13:22" ht="15.75" thickBot="1">
      <c r="M2433" s="149"/>
      <c r="N2433" s="146"/>
      <c r="O2433" s="146"/>
      <c r="P2433" s="146"/>
      <c r="Q2433" s="150"/>
      <c r="R2433" s="146"/>
      <c r="S2433" s="151"/>
      <c r="T2433" s="148"/>
      <c r="U2433" s="164"/>
      <c r="V2433" s="164"/>
    </row>
    <row r="2434" spans="13:22" ht="15.75" thickBot="1">
      <c r="M2434" s="149"/>
      <c r="N2434" s="146"/>
      <c r="O2434" s="146"/>
      <c r="P2434" s="146"/>
      <c r="Q2434" s="150"/>
      <c r="R2434" s="146"/>
      <c r="S2434" s="151"/>
      <c r="T2434" s="148"/>
      <c r="U2434" s="164"/>
      <c r="V2434" s="164"/>
    </row>
    <row r="2435" spans="13:22" ht="15.75" thickBot="1">
      <c r="M2435" s="149"/>
      <c r="N2435" s="146"/>
      <c r="O2435" s="146"/>
      <c r="P2435" s="146"/>
      <c r="Q2435" s="150"/>
      <c r="R2435" s="146"/>
      <c r="S2435" s="151"/>
      <c r="T2435" s="148"/>
      <c r="U2435" s="164"/>
      <c r="V2435" s="164"/>
    </row>
    <row r="2460" spans="13:22" ht="15.75" thickBot="1"/>
    <row r="2461" spans="13:22" ht="15.75" thickBot="1">
      <c r="M2461" s="146"/>
      <c r="N2461" s="146"/>
      <c r="O2461" s="146"/>
      <c r="P2461" s="146"/>
      <c r="Q2461" s="150"/>
      <c r="R2461" s="146"/>
      <c r="S2461" s="146"/>
      <c r="T2461" s="148"/>
      <c r="U2461" s="164"/>
      <c r="V2461" s="164"/>
    </row>
    <row r="2462" spans="13:22" ht="15.75" thickBot="1">
      <c r="M2462" s="146"/>
      <c r="N2462" s="146"/>
      <c r="O2462" s="146"/>
      <c r="P2462" s="146"/>
      <c r="Q2462" s="150"/>
      <c r="R2462" s="146"/>
      <c r="S2462" s="146"/>
      <c r="T2462" s="148"/>
      <c r="U2462" s="164"/>
      <c r="V2462" s="164"/>
    </row>
    <row r="2463" spans="13:22" ht="15.75" thickBot="1">
      <c r="M2463" s="146"/>
      <c r="N2463" s="146"/>
      <c r="O2463" s="146"/>
      <c r="P2463" s="146"/>
      <c r="Q2463" s="150"/>
      <c r="R2463" s="146"/>
      <c r="S2463" s="146"/>
      <c r="T2463" s="148"/>
      <c r="U2463" s="164"/>
      <c r="V2463" s="164"/>
    </row>
    <row r="2464" spans="13:22" ht="15.75" thickBot="1">
      <c r="M2464" s="146"/>
      <c r="N2464" s="146"/>
      <c r="O2464" s="146"/>
      <c r="P2464" s="146"/>
      <c r="Q2464" s="150"/>
      <c r="R2464" s="146"/>
      <c r="S2464" s="146"/>
      <c r="T2464" s="148"/>
      <c r="U2464" s="164"/>
      <c r="V2464" s="164"/>
    </row>
    <row r="2465" spans="13:22" ht="15.75" thickBot="1">
      <c r="M2465" s="146"/>
      <c r="N2465" s="146"/>
      <c r="O2465" s="146"/>
      <c r="P2465" s="146"/>
      <c r="Q2465" s="150"/>
      <c r="R2465" s="146"/>
      <c r="S2465" s="146"/>
      <c r="T2465" s="148"/>
      <c r="U2465" s="164"/>
      <c r="V2465" s="164"/>
    </row>
    <row r="2466" spans="13:22" ht="15.75" thickBot="1">
      <c r="M2466" s="146"/>
      <c r="N2466" s="146"/>
      <c r="O2466" s="146"/>
      <c r="P2466" s="146"/>
      <c r="Q2466" s="150"/>
      <c r="R2466" s="146"/>
      <c r="S2466" s="146"/>
      <c r="T2466" s="148"/>
      <c r="U2466" s="164"/>
      <c r="V2466" s="164"/>
    </row>
    <row r="2467" spans="13:22" ht="15.75" thickBot="1">
      <c r="M2467" s="146"/>
      <c r="N2467" s="146"/>
      <c r="O2467" s="146"/>
      <c r="P2467" s="146"/>
      <c r="Q2467" s="150"/>
      <c r="R2467" s="146"/>
      <c r="S2467" s="146"/>
      <c r="T2467" s="148"/>
      <c r="U2467" s="164"/>
      <c r="V2467" s="164"/>
    </row>
    <row r="2468" spans="13:22" ht="15.75" thickBot="1">
      <c r="M2468" s="146"/>
      <c r="N2468" s="146"/>
      <c r="O2468" s="146"/>
      <c r="P2468" s="146"/>
      <c r="Q2468" s="150"/>
      <c r="R2468" s="146"/>
      <c r="S2468" s="146"/>
      <c r="T2468" s="148"/>
      <c r="U2468" s="164"/>
      <c r="V2468" s="164"/>
    </row>
    <row r="2469" spans="13:22" ht="15.75" thickBot="1">
      <c r="M2469" s="146"/>
      <c r="N2469" s="146"/>
      <c r="O2469" s="146"/>
      <c r="P2469" s="146"/>
      <c r="Q2469" s="150"/>
      <c r="R2469" s="146"/>
      <c r="S2469" s="146"/>
      <c r="T2469" s="148"/>
      <c r="U2469" s="164"/>
      <c r="V2469" s="164"/>
    </row>
    <row r="2470" spans="13:22" ht="15.75" thickBot="1">
      <c r="M2470" s="146"/>
      <c r="N2470" s="146"/>
      <c r="O2470" s="146"/>
      <c r="P2470" s="146"/>
      <c r="Q2470" s="150"/>
      <c r="R2470" s="146"/>
      <c r="S2470" s="146"/>
      <c r="T2470" s="148"/>
      <c r="U2470" s="164"/>
      <c r="V2470" s="164"/>
    </row>
    <row r="2471" spans="13:22" ht="15.75" thickBot="1">
      <c r="M2471" s="146"/>
      <c r="N2471" s="146"/>
      <c r="O2471" s="146"/>
      <c r="P2471" s="146"/>
      <c r="Q2471" s="150"/>
      <c r="R2471" s="146"/>
      <c r="S2471" s="146"/>
      <c r="T2471" s="148"/>
      <c r="U2471" s="164"/>
      <c r="V2471" s="164"/>
    </row>
    <row r="2472" spans="13:22" ht="15.75" thickBot="1">
      <c r="M2472" s="146"/>
      <c r="N2472" s="146"/>
      <c r="O2472" s="146"/>
      <c r="P2472" s="146"/>
      <c r="Q2472" s="150"/>
      <c r="R2472" s="146"/>
      <c r="S2472" s="146"/>
      <c r="T2472" s="148"/>
      <c r="U2472" s="164"/>
      <c r="V2472" s="164"/>
    </row>
    <row r="2473" spans="13:22" ht="15.75" thickBot="1">
      <c r="M2473" s="146"/>
      <c r="N2473" s="146"/>
      <c r="O2473" s="146"/>
      <c r="P2473" s="146"/>
      <c r="Q2473" s="150"/>
      <c r="R2473" s="146"/>
      <c r="S2473" s="146"/>
      <c r="T2473" s="148"/>
      <c r="U2473" s="164"/>
      <c r="V2473" s="164"/>
    </row>
    <row r="2474" spans="13:22" ht="15.75" thickBot="1">
      <c r="M2474" s="146"/>
      <c r="N2474" s="146"/>
      <c r="O2474" s="146"/>
      <c r="P2474" s="146"/>
      <c r="Q2474" s="150"/>
      <c r="R2474" s="146"/>
      <c r="S2474" s="146"/>
      <c r="T2474" s="148"/>
      <c r="U2474" s="164"/>
      <c r="V2474" s="164"/>
    </row>
    <row r="2475" spans="13:22" ht="15.75" thickBot="1">
      <c r="M2475" s="146"/>
      <c r="N2475" s="146"/>
      <c r="O2475" s="146"/>
      <c r="P2475" s="146"/>
      <c r="Q2475" s="150"/>
      <c r="R2475" s="146"/>
      <c r="S2475" s="146"/>
      <c r="T2475" s="148"/>
      <c r="U2475" s="164"/>
      <c r="V2475" s="164"/>
    </row>
    <row r="2476" spans="13:22" ht="15.75" thickBot="1">
      <c r="M2476" s="146"/>
      <c r="N2476" s="146"/>
      <c r="O2476" s="146"/>
      <c r="P2476" s="146"/>
      <c r="Q2476" s="150"/>
      <c r="R2476" s="146"/>
      <c r="S2476" s="146"/>
      <c r="T2476" s="148"/>
      <c r="U2476" s="164"/>
      <c r="V2476" s="164"/>
    </row>
    <row r="2477" spans="13:22" ht="15.75" thickBot="1">
      <c r="M2477" s="146"/>
      <c r="N2477" s="146"/>
      <c r="O2477" s="146"/>
      <c r="P2477" s="146"/>
      <c r="Q2477" s="150"/>
      <c r="R2477" s="146"/>
      <c r="S2477" s="146"/>
      <c r="T2477" s="148"/>
      <c r="U2477" s="164"/>
      <c r="V2477" s="164"/>
    </row>
  </sheetData>
  <autoFilter ref="M2:Z2418">
    <filterColumn colId="6">
      <filters>
        <filter val="אשקלון"/>
      </filters>
    </filterColumn>
    <filterColumn colId="8">
      <filters>
        <filter val="2015"/>
        <filter val="2016"/>
        <filter val="2017"/>
      </filters>
    </filterColumn>
    <filterColumn colId="11">
      <filters>
        <filter val="לא"/>
      </filters>
    </filterColumn>
    <sortState ref="M3:X2418">
      <sortCondition ref="S2:S2418"/>
    </sortState>
  </autoFilter>
  <sortState ref="AF3:AL76">
    <sortCondition ref="AF3:AF76"/>
  </sortState>
  <mergeCells count="26">
    <mergeCell ref="A66:A74"/>
    <mergeCell ref="C66:C74"/>
    <mergeCell ref="D66:D74"/>
    <mergeCell ref="F66:F74"/>
    <mergeCell ref="A56:A58"/>
    <mergeCell ref="C56:C58"/>
    <mergeCell ref="D56:D58"/>
    <mergeCell ref="F56:F58"/>
    <mergeCell ref="A59:A65"/>
    <mergeCell ref="C59:C65"/>
    <mergeCell ref="D59:D65"/>
    <mergeCell ref="F59:F65"/>
    <mergeCell ref="F37:F39"/>
    <mergeCell ref="A40:A44"/>
    <mergeCell ref="C40:C44"/>
    <mergeCell ref="D40:D44"/>
    <mergeCell ref="A45:A55"/>
    <mergeCell ref="C45:C55"/>
    <mergeCell ref="D45:D55"/>
    <mergeCell ref="F45:F55"/>
    <mergeCell ref="A30:A36"/>
    <mergeCell ref="C30:C36"/>
    <mergeCell ref="D30:D36"/>
    <mergeCell ref="A37:A39"/>
    <mergeCell ref="B37:B39"/>
    <mergeCell ref="C37:C39"/>
  </mergeCells>
  <hyperlinks>
    <hyperlink ref="A18" r:id="rId1"/>
    <hyperlink ref="A16" r:id="rId2"/>
    <hyperlink ref="A19" r:id="rId3"/>
    <hyperlink ref="A6" r:id="rId4"/>
    <hyperlink ref="A17" r:id="rId5"/>
    <hyperlink ref="A20" r:id="rId6"/>
    <hyperlink ref="Q141" r:id="rId7" display="http://www.land.gov.il/TozaotMichrazim/resultsDetailed.aspx?id=87110&amp;rc=1&amp;tr=685"/>
    <hyperlink ref="Q144" r:id="rId8" display="http://www.land.gov.il/TozaotMichrazim/resultsDetailed.aspx?id=87111&amp;rc=2&amp;tr=685"/>
    <hyperlink ref="Q157" r:id="rId9" display="http://www.land.gov.il/TozaotMichrazim/resultsDetailed.aspx?id=84864&amp;rc=3&amp;tr=685"/>
    <hyperlink ref="Q6" r:id="rId10" display="http://www.land.gov.il/TozaotMichrazim/resultsDetailed.aspx?id=84811&amp;rc=4&amp;tr=685"/>
    <hyperlink ref="Q11" r:id="rId11" display="http://www.land.gov.il/TozaotMichrazim/resultsDetailed.aspx?id=84733&amp;rc=5&amp;tr=685"/>
    <hyperlink ref="Q8" r:id="rId12" display="http://www.land.gov.il/TozaotMichrazim/resultsDetailed.aspx?id=84734&amp;rc=6&amp;tr=685"/>
    <hyperlink ref="Q12" r:id="rId13" display="http://www.land.gov.il/TozaotMichrazim/resultsDetailed.aspx?id=84735&amp;rc=7&amp;tr=685"/>
    <hyperlink ref="Q9" r:id="rId14" display="http://www.land.gov.il/TozaotMichrazim/resultsDetailed.aspx?id=84736&amp;rc=8&amp;tr=685"/>
    <hyperlink ref="Q14" r:id="rId15" display="http://www.land.gov.il/TozaotMichrazim/resultsDetailed.aspx?id=84737&amp;rc=9&amp;tr=685"/>
    <hyperlink ref="Q10" r:id="rId16" display="http://www.land.gov.il/TozaotMichrazim/resultsDetailed.aspx?id=84738&amp;rc=10&amp;tr=685"/>
    <hyperlink ref="Q13" r:id="rId17" display="http://www.land.gov.il/TozaotMichrazim/resultsDetailed.aspx?id=84739&amp;rc=11&amp;tr=685"/>
    <hyperlink ref="Q15" r:id="rId18" display="http://www.land.gov.il/TozaotMichrazim/resultsDetailed.aspx?id=84740&amp;rc=12&amp;tr=685"/>
    <hyperlink ref="Q7" r:id="rId19" display="http://www.land.gov.il/TozaotMichrazim/resultsDetailed.aspx?id=84587&amp;rc=13&amp;tr=685"/>
    <hyperlink ref="Q89" r:id="rId20" display="http://www.land.gov.il/TozaotMichrazim/resultsDetailed.aspx?id=84603&amp;rc=14&amp;tr=685"/>
    <hyperlink ref="Q84" r:id="rId21" display="http://www.land.gov.il/TozaotMichrazim/resultsDetailed.aspx?id=84604&amp;rc=15&amp;tr=685"/>
    <hyperlink ref="Q87" r:id="rId22" display="http://www.land.gov.il/TozaotMichrazim/resultsDetailed.aspx?id=84605&amp;rc=16&amp;tr=685"/>
    <hyperlink ref="Q133" r:id="rId23" display="http://www.land.gov.il/TozaotMichrazim/resultsDetailed.aspx?id=84606&amp;rc=17&amp;tr=685"/>
    <hyperlink ref="Q134" r:id="rId24" display="http://www.land.gov.il/TozaotMichrazim/resultsDetailed.aspx?id=84607&amp;rc=18&amp;tr=685"/>
    <hyperlink ref="Q113" r:id="rId25" display="http://www.land.gov.il/TozaotMichrazim/resultsDetailed.aspx?id=84608&amp;rc=19&amp;tr=685"/>
    <hyperlink ref="Q82" r:id="rId26" display="http://www.land.gov.il/TozaotMichrazim/resultsDetailed.aspx?id=84609&amp;rc=20&amp;tr=685"/>
    <hyperlink ref="Q86" r:id="rId27" display="http://www.land.gov.il/TozaotMichrazim/resultsDetailed.aspx?id=84610&amp;rc=21&amp;tr=685"/>
    <hyperlink ref="Q92" r:id="rId28" display="http://www.land.gov.il/TozaotMichrazim/resultsDetailed.aspx?id=84611&amp;rc=22&amp;tr=685"/>
    <hyperlink ref="Q74" r:id="rId29" display="http://www.land.gov.il/TozaotMichrazim/resultsDetailed.aspx?id=84612&amp;rc=23&amp;tr=685"/>
    <hyperlink ref="Q64" r:id="rId30" display="http://www.land.gov.il/TozaotMichrazim/resultsDetailed.aspx?id=84613&amp;rc=24&amp;tr=685"/>
    <hyperlink ref="Q38" r:id="rId31" display="http://www.land.gov.il/TozaotMichrazim/resultsDetailed.aspx?id=84614&amp;rc=25&amp;tr=685"/>
    <hyperlink ref="Q41" r:id="rId32" display="http://www.land.gov.il/TozaotMichrazim/resultsDetailed.aspx?id=84615&amp;rc=26&amp;tr=685"/>
    <hyperlink ref="Q88" r:id="rId33" display="http://www.land.gov.il/TozaotMichrazim/resultsDetailed.aspx?id=84616&amp;rc=27&amp;tr=685"/>
    <hyperlink ref="Q49" r:id="rId34" display="http://www.land.gov.il/TozaotMichrazim/resultsDetailed.aspx?id=84617&amp;rc=28&amp;tr=685"/>
    <hyperlink ref="Q57" r:id="rId35" display="http://www.land.gov.il/TozaotMichrazim/resultsDetailed.aspx?id=84618&amp;rc=29&amp;tr=685"/>
    <hyperlink ref="Q66" r:id="rId36" display="http://www.land.gov.il/TozaotMichrazim/resultsDetailed.aspx?id=84619&amp;rc=30&amp;tr=685"/>
    <hyperlink ref="Q32" r:id="rId37" display="http://www.land.gov.il/TozaotMichrazim/resultsDetailed.aspx?id=84620&amp;rc=31&amp;tr=685"/>
    <hyperlink ref="Q112" r:id="rId38" display="http://www.land.gov.il/TozaotMichrazim/resultsDetailed.aspx?id=84621&amp;rc=32&amp;tr=685"/>
    <hyperlink ref="Q39" r:id="rId39" display="http://www.land.gov.il/TozaotMichrazim/resultsDetailed.aspx?id=84622&amp;rc=33&amp;tr=685"/>
    <hyperlink ref="Q31" r:id="rId40" display="http://www.land.gov.il/TozaotMichrazim/resultsDetailed.aspx?id=84623&amp;rc=34&amp;tr=685"/>
    <hyperlink ref="Q106" r:id="rId41" display="http://www.land.gov.il/TozaotMichrazim/resultsDetailed.aspx?id=84624&amp;rc=35&amp;tr=685"/>
    <hyperlink ref="Q65" r:id="rId42" display="http://www.land.gov.il/TozaotMichrazim/resultsDetailed.aspx?id=84625&amp;rc=36&amp;tr=685"/>
    <hyperlink ref="Q67" r:id="rId43" display="http://www.land.gov.il/TozaotMichrazim/resultsDetailed.aspx?id=84626&amp;rc=37&amp;tr=685"/>
    <hyperlink ref="Q59" r:id="rId44" display="http://www.land.gov.il/TozaotMichrazim/resultsDetailed.aspx?id=84627&amp;rc=38&amp;tr=685"/>
    <hyperlink ref="Q93" r:id="rId45" display="http://www.land.gov.il/TozaotMichrazim/resultsDetailed.aspx?id=84628&amp;rc=39&amp;tr=685"/>
    <hyperlink ref="Q120" r:id="rId46" display="http://www.land.gov.il/TozaotMichrazim/resultsDetailed.aspx?id=84629&amp;rc=40&amp;tr=685"/>
    <hyperlink ref="Q102" r:id="rId47" display="http://www.land.gov.il/TozaotMichrazim/resultsDetailed.aspx?id=84630&amp;rc=41&amp;tr=685"/>
    <hyperlink ref="Q72" r:id="rId48" display="http://www.land.gov.il/TozaotMichrazim/resultsDetailed.aspx?id=84631&amp;rc=42&amp;tr=685"/>
    <hyperlink ref="Q69" r:id="rId49" display="http://www.land.gov.il/TozaotMichrazim/resultsDetailed.aspx?id=84632&amp;rc=43&amp;tr=685"/>
    <hyperlink ref="Q62" r:id="rId50" display="http://www.land.gov.il/TozaotMichrazim/resultsDetailed.aspx?id=84633&amp;rc=44&amp;tr=685"/>
    <hyperlink ref="Q70" r:id="rId51" display="http://www.land.gov.il/TozaotMichrazim/resultsDetailed.aspx?id=84634&amp;rc=45&amp;tr=685"/>
    <hyperlink ref="Q75" r:id="rId52" display="http://www.land.gov.il/TozaotMichrazim/resultsDetailed.aspx?id=84635&amp;rc=46&amp;tr=685"/>
    <hyperlink ref="Q114" r:id="rId53" display="http://www.land.gov.il/TozaotMichrazim/resultsDetailed.aspx?id=84636&amp;rc=47&amp;tr=685"/>
    <hyperlink ref="Q94" r:id="rId54" display="http://www.land.gov.il/TozaotMichrazim/resultsDetailed.aspx?id=84637&amp;rc=48&amp;tr=685"/>
    <hyperlink ref="Q131" r:id="rId55" display="http://www.land.gov.il/TozaotMichrazim/resultsDetailed.aspx?id=84638&amp;rc=49&amp;tr=685"/>
    <hyperlink ref="Q142" r:id="rId56" display="http://www.land.gov.il/TozaotMichrazim/resultsDetailed.aspx?id=84639&amp;rc=50&amp;tr=685"/>
    <hyperlink ref="Q50" r:id="rId57" display="http://www.land.gov.il/TozaotMichrazim/resultsDetailed.aspx?id=84640&amp;rc=51&amp;tr=685"/>
    <hyperlink ref="Q48" r:id="rId58" display="http://www.land.gov.il/TozaotMichrazim/resultsDetailed.aspx?id=84641&amp;rc=52&amp;tr=685"/>
    <hyperlink ref="Q60" r:id="rId59" display="http://www.land.gov.il/TozaotMichrazim/resultsDetailed.aspx?id=84642&amp;rc=53&amp;tr=685"/>
    <hyperlink ref="Q81" r:id="rId60" display="http://www.land.gov.il/TozaotMichrazim/resultsDetailed.aspx?id=84643&amp;rc=54&amp;tr=685"/>
    <hyperlink ref="Q55" r:id="rId61" display="http://www.land.gov.il/TozaotMichrazim/resultsDetailed.aspx?id=84644&amp;rc=55&amp;tr=685"/>
    <hyperlink ref="Q79" r:id="rId62" display="http://www.land.gov.il/TozaotMichrazim/resultsDetailed.aspx?id=84645&amp;rc=56&amp;tr=685"/>
    <hyperlink ref="Q58" r:id="rId63" display="http://www.land.gov.il/TozaotMichrazim/resultsDetailed.aspx?id=84646&amp;rc=57&amp;tr=685"/>
    <hyperlink ref="Q95" r:id="rId64" display="http://www.land.gov.il/TozaotMichrazim/resultsDetailed.aspx?id=84647&amp;rc=58&amp;tr=685"/>
    <hyperlink ref="Q76" r:id="rId65" display="http://www.land.gov.il/TozaotMichrazim/resultsDetailed.aspx?id=84648&amp;rc=59&amp;tr=685"/>
    <hyperlink ref="Q85" r:id="rId66" display="http://www.land.gov.il/TozaotMichrazim/resultsDetailed.aspx?id=84649&amp;rc=60&amp;tr=685"/>
    <hyperlink ref="Q63" r:id="rId67" display="http://www.land.gov.il/TozaotMichrazim/resultsDetailed.aspx?id=84650&amp;rc=61&amp;tr=685"/>
    <hyperlink ref="Q101" r:id="rId68" display="http://www.land.gov.il/TozaotMichrazim/resultsDetailed.aspx?id=84651&amp;rc=62&amp;tr=685"/>
    <hyperlink ref="Q30" r:id="rId69" display="http://www.land.gov.il/TozaotMichrazim/resultsDetailed.aspx?id=84652&amp;rc=63&amp;tr=685"/>
    <hyperlink ref="Q138" r:id="rId70" display="http://www.land.gov.il/TozaotMichrazim/resultsDetailed.aspx?id=84653&amp;rc=64&amp;tr=685"/>
    <hyperlink ref="Q107" r:id="rId71" display="http://www.land.gov.il/TozaotMichrazim/resultsDetailed.aspx?id=84654&amp;rc=65&amp;tr=685"/>
    <hyperlink ref="Q122" r:id="rId72" display="http://www.land.gov.il/TozaotMichrazim/resultsDetailed.aspx?id=84655&amp;rc=66&amp;tr=685"/>
    <hyperlink ref="Q80" r:id="rId73" display="http://www.land.gov.il/TozaotMichrazim/resultsDetailed.aspx?id=84656&amp;rc=67&amp;tr=685"/>
    <hyperlink ref="Q91" r:id="rId74" display="http://www.land.gov.il/TozaotMichrazim/resultsDetailed.aspx?id=84657&amp;rc=68&amp;tr=685"/>
    <hyperlink ref="Q109" r:id="rId75" display="http://www.land.gov.il/TozaotMichrazim/resultsDetailed.aspx?id=84658&amp;rc=69&amp;tr=685"/>
    <hyperlink ref="Q130" r:id="rId76" display="http://www.land.gov.il/TozaotMichrazim/resultsDetailed.aspx?id=84659&amp;rc=70&amp;tr=685"/>
    <hyperlink ref="Q118" r:id="rId77" display="http://www.land.gov.il/TozaotMichrazim/resultsDetailed.aspx?id=84660&amp;rc=71&amp;tr=685"/>
    <hyperlink ref="Q78" r:id="rId78" display="http://www.land.gov.il/TozaotMichrazim/resultsDetailed.aspx?id=84661&amp;rc=72&amp;tr=685"/>
    <hyperlink ref="Q123" r:id="rId79" display="http://www.land.gov.il/TozaotMichrazim/resultsDetailed.aspx?id=84662&amp;rc=73&amp;tr=685"/>
    <hyperlink ref="Q56" r:id="rId80" display="http://www.land.gov.il/TozaotMichrazim/resultsDetailed.aspx?id=84663&amp;rc=74&amp;tr=685"/>
    <hyperlink ref="Q71" r:id="rId81" display="http://www.land.gov.il/TozaotMichrazim/resultsDetailed.aspx?id=84664&amp;rc=75&amp;tr=685"/>
    <hyperlink ref="Q45" r:id="rId82" display="http://www.land.gov.il/TozaotMichrazim/resultsDetailed.aspx?id=84665&amp;rc=76&amp;tr=685"/>
    <hyperlink ref="Q77" r:id="rId83" display="http://www.land.gov.il/TozaotMichrazim/resultsDetailed.aspx?id=84666&amp;rc=77&amp;tr=685"/>
    <hyperlink ref="Q117" r:id="rId84" display="http://www.land.gov.il/TozaotMichrazim/resultsDetailed.aspx?id=84667&amp;rc=78&amp;tr=685"/>
    <hyperlink ref="Q132" r:id="rId85" display="http://www.land.gov.il/TozaotMichrazim/resultsDetailed.aspx?id=84668&amp;rc=79&amp;tr=685"/>
    <hyperlink ref="Q116" r:id="rId86" display="http://www.land.gov.il/TozaotMichrazim/resultsDetailed.aspx?id=84669&amp;rc=80&amp;tr=685"/>
    <hyperlink ref="Q135" r:id="rId87" display="http://www.land.gov.il/TozaotMichrazim/resultsDetailed.aspx?id=84670&amp;rc=81&amp;tr=685"/>
    <hyperlink ref="Q100" r:id="rId88" display="http://www.land.gov.il/TozaotMichrazim/resultsDetailed.aspx?id=84671&amp;rc=82&amp;tr=685"/>
    <hyperlink ref="Q103" r:id="rId89" display="http://www.land.gov.il/TozaotMichrazim/resultsDetailed.aspx?id=84672&amp;rc=83&amp;tr=685"/>
    <hyperlink ref="Q127" r:id="rId90" display="http://www.land.gov.il/TozaotMichrazim/resultsDetailed.aspx?id=84673&amp;rc=84&amp;tr=685"/>
    <hyperlink ref="Q115" r:id="rId91" display="http://www.land.gov.il/TozaotMichrazim/resultsDetailed.aspx?id=84674&amp;rc=85&amp;tr=685"/>
    <hyperlink ref="Q128" r:id="rId92" display="http://www.land.gov.il/TozaotMichrazim/resultsDetailed.aspx?id=84675&amp;rc=86&amp;tr=685"/>
    <hyperlink ref="Q129" r:id="rId93" display="http://www.land.gov.il/TozaotMichrazim/resultsDetailed.aspx?id=84676&amp;rc=87&amp;tr=685"/>
    <hyperlink ref="Q136" r:id="rId94" display="http://www.land.gov.il/TozaotMichrazim/resultsDetailed.aspx?id=84677&amp;rc=88&amp;tr=685"/>
    <hyperlink ref="Q124" r:id="rId95" display="http://www.land.gov.il/TozaotMichrazim/resultsDetailed.aspx?id=84678&amp;rc=89&amp;tr=685"/>
    <hyperlink ref="Q110" r:id="rId96" display="http://www.land.gov.il/TozaotMichrazim/resultsDetailed.aspx?id=84679&amp;rc=90&amp;tr=685"/>
    <hyperlink ref="Q98" r:id="rId97" display="http://www.land.gov.il/TozaotMichrazim/resultsDetailed.aspx?id=84680&amp;rc=91&amp;tr=685"/>
    <hyperlink ref="Q99" r:id="rId98" display="http://www.land.gov.il/TozaotMichrazim/resultsDetailed.aspx?id=84681&amp;rc=92&amp;tr=685"/>
    <hyperlink ref="Q90" r:id="rId99" display="http://www.land.gov.il/TozaotMichrazim/resultsDetailed.aspx?id=84682&amp;rc=93&amp;tr=685"/>
    <hyperlink ref="Q83" r:id="rId100" display="http://www.land.gov.il/TozaotMichrazim/resultsDetailed.aspx?id=84683&amp;rc=94&amp;tr=685"/>
    <hyperlink ref="Q73" r:id="rId101" display="http://www.land.gov.il/TozaotMichrazim/resultsDetailed.aspx?id=84684&amp;rc=95&amp;tr=685"/>
    <hyperlink ref="Q121" r:id="rId102" display="http://www.land.gov.il/TozaotMichrazim/resultsDetailed.aspx?id=84685&amp;rc=96&amp;tr=685"/>
    <hyperlink ref="Q105" r:id="rId103" display="http://www.land.gov.il/TozaotMichrazim/resultsDetailed.aspx?id=84686&amp;rc=97&amp;tr=685"/>
    <hyperlink ref="Q68" r:id="rId104" display="http://www.land.gov.il/TozaotMichrazim/resultsDetailed.aspx?id=84687&amp;rc=98&amp;tr=685"/>
    <hyperlink ref="Q108" r:id="rId105" display="http://www.land.gov.il/TozaotMichrazim/resultsDetailed.aspx?id=84688&amp;rc=99&amp;tr=685"/>
    <hyperlink ref="Q126" r:id="rId106" display="http://www.land.gov.il/TozaotMichrazim/resultsDetailed.aspx?id=84689&amp;rc=100&amp;tr=685"/>
    <hyperlink ref="Q119" r:id="rId107" display="http://www.land.gov.il/TozaotMichrazim/resultsDetailed.aspx?id=84690&amp;rc=101&amp;tr=685"/>
    <hyperlink ref="Q152" r:id="rId108" display="http://www.land.gov.il/TozaotMichrazim/resultsDetailed.aspx?id=81792&amp;rc=102&amp;tr=685"/>
    <hyperlink ref="Q156" r:id="rId109" display="http://www.land.gov.il/TozaotMichrazim/resultsDetailed.aspx?id=81793&amp;rc=103&amp;tr=685"/>
    <hyperlink ref="Q34" r:id="rId110" display="http://www.land.gov.il/TozaotMichrazim/resultsDetailed.aspx?id=81794&amp;rc=104&amp;tr=685"/>
    <hyperlink ref="Q147" r:id="rId111" display="http://www.land.gov.il/TozaotMichrazim/resultsDetailed.aspx?id=81795&amp;rc=105&amp;tr=685"/>
    <hyperlink ref="Q28" r:id="rId112" display="http://www.land.gov.il/TozaotMichrazim/resultsDetailed.aspx?id=81796&amp;rc=106&amp;tr=685"/>
    <hyperlink ref="Q25" r:id="rId113" display="http://www.land.gov.il/TozaotMichrazim/resultsDetailed.aspx?id=81797&amp;rc=107&amp;tr=685"/>
    <hyperlink ref="Q139" r:id="rId114" display="http://www.land.gov.il/TozaotMichrazim/resultsDetailed.aspx?id=81798&amp;rc=108&amp;tr=685"/>
    <hyperlink ref="Q140" r:id="rId115" display="http://www.land.gov.il/TozaotMichrazim/resultsDetailed.aspx?id=81799&amp;rc=109&amp;tr=685"/>
    <hyperlink ref="Q154" r:id="rId116" display="http://www.land.gov.il/TozaotMichrazim/resultsDetailed.aspx?id=81800&amp;rc=110&amp;tr=685"/>
    <hyperlink ref="Q151" r:id="rId117" display="http://www.land.gov.il/TozaotMichrazim/resultsDetailed.aspx?id=81801&amp;rc=111&amp;tr=685"/>
    <hyperlink ref="Q29" r:id="rId118" display="http://www.land.gov.il/TozaotMichrazim/resultsDetailed.aspx?id=81802&amp;rc=112&amp;tr=685"/>
    <hyperlink ref="Q153" r:id="rId119" display="http://www.land.gov.il/TozaotMichrazim/resultsDetailed.aspx?id=81803&amp;rc=113&amp;tr=685"/>
    <hyperlink ref="Q137" r:id="rId120" display="http://www.land.gov.il/TozaotMichrazim/resultsDetailed.aspx?id=80764&amp;rc=114&amp;tr=685"/>
    <hyperlink ref="Q149" r:id="rId121" display="http://www.land.gov.il/TozaotMichrazim/resultsDetailed.aspx?id=80765&amp;rc=115&amp;tr=685"/>
    <hyperlink ref="Q22" r:id="rId122" display="http://www.land.gov.il/TozaotMichrazim/resultsDetailed.aspx?id=80766&amp;rc=116&amp;tr=685"/>
    <hyperlink ref="Q146" r:id="rId123" display="http://www.land.gov.il/TozaotMichrazim/resultsDetailed.aspx?id=80768&amp;rc=118&amp;tr=685"/>
    <hyperlink ref="Q148" r:id="rId124" display="http://www.land.gov.il/TozaotMichrazim/resultsDetailed.aspx?id=80769&amp;rc=119&amp;tr=685"/>
    <hyperlink ref="Q96" r:id="rId125" display="http://www.land.gov.il/TozaotMichrazim/resultsDetailed.aspx?id=80642&amp;rc=121&amp;tr=685"/>
    <hyperlink ref="Q111" r:id="rId126" display="http://www.land.gov.il/TozaotMichrazim/resultsDetailed.aspx?id=80643&amp;rc=122&amp;tr=685"/>
    <hyperlink ref="Q104" r:id="rId127" display="http://www.land.gov.il/TozaotMichrazim/resultsDetailed.aspx?id=80644&amp;rc=123&amp;tr=685"/>
    <hyperlink ref="Q125" r:id="rId128" display="http://www.land.gov.il/TozaotMichrazim/resultsDetailed.aspx?id=80645&amp;rc=124&amp;tr=685"/>
    <hyperlink ref="Q97" r:id="rId129" display="http://www.land.gov.il/TozaotMichrazim/resultsDetailed.aspx?id=79107&amp;rc=125&amp;tr=685"/>
    <hyperlink ref="Q18" r:id="rId130" display="http://www.land.gov.il/TozaotMichrazim/resultsDetailed.aspx?id=79108&amp;rc=126&amp;tr=685"/>
    <hyperlink ref="Q17" r:id="rId131" display="http://www.land.gov.il/TozaotMichrazim/resultsDetailed.aspx?id=79109&amp;rc=127&amp;tr=685"/>
    <hyperlink ref="Q143" r:id="rId132" display="http://www.land.gov.il/TozaotMichrazim/resultsDetailed.aspx?id=79113&amp;rc=131&amp;tr=685"/>
    <hyperlink ref="Q145" r:id="rId133" display="http://www.land.gov.il/TozaotMichrazim/resultsDetailed.aspx?id=77014&amp;rc=132&amp;tr=685"/>
    <hyperlink ref="Q155" r:id="rId134" display="http://www.land.gov.il/TozaotMichrazim/resultsDetailed.aspx?id=77015&amp;rc=133&amp;tr=685"/>
    <hyperlink ref="Q19" r:id="rId135" display="http://www.land.gov.il/TozaotMichrazim/resultsDetailed.aspx?id=77016&amp;rc=134&amp;tr=685"/>
    <hyperlink ref="Q150" r:id="rId136" display="http://www.land.gov.il/TozaotMichrazim/resultsDetailed.aspx?id=77017&amp;rc=135&amp;tr=685"/>
    <hyperlink ref="Q16" r:id="rId137" display="http://www.land.gov.il/TozaotMichrazim/resultsDetailed.aspx?id=77018&amp;rc=136&amp;tr=685"/>
    <hyperlink ref="Q20" r:id="rId138" display="http://www.land.gov.il/TozaotMichrazim/resultsDetailed.aspx?id=76746&amp;rc=138&amp;tr=685"/>
    <hyperlink ref="Q21" r:id="rId139" display="http://www.land.gov.il/TozaotMichrazim/resultsDetailed.aspx?id=76747&amp;rc=139&amp;tr=685"/>
    <hyperlink ref="Q23" r:id="rId140" display="http://www.land.gov.il/TozaotMichrazim/resultsDetailed.aspx?id=76748&amp;rc=140&amp;tr=685"/>
    <hyperlink ref="Q24" r:id="rId141" display="http://www.land.gov.il/TozaotMichrazim/resultsDetailed.aspx?id=76749&amp;rc=141&amp;tr=685"/>
    <hyperlink ref="Q46" r:id="rId142" display="http://www.land.gov.il/TozaotMichrazim/resultsDetailed.aspx?id=76557&amp;rc=144&amp;tr=685"/>
    <hyperlink ref="Q54" r:id="rId143" display="http://www.land.gov.il/TozaotMichrazim/resultsDetailed.aspx?id=76558&amp;rc=145&amp;tr=685"/>
    <hyperlink ref="Q33" r:id="rId144" display="http://www.land.gov.il/TozaotMichrazim/resultsDetailed.aspx?id=76559&amp;rc=146&amp;tr=685"/>
    <hyperlink ref="Q26" r:id="rId145" display="http://www.land.gov.il/TozaotMichrazim/resultsDetailed.aspx?id=76560&amp;rc=147&amp;tr=685"/>
    <hyperlink ref="Q27" r:id="rId146" display="http://www.land.gov.il/TozaotMichrazim/resultsDetailed.aspx?id=76561&amp;rc=148&amp;tr=685"/>
    <hyperlink ref="Q35" r:id="rId147" display="http://www.land.gov.il/TozaotMichrazim/resultsDetailed.aspx?id=76562&amp;rc=149&amp;tr=685"/>
    <hyperlink ref="Q37" r:id="rId148" display="http://www.land.gov.il/TozaotMichrazim/resultsDetailed.aspx?id=76563&amp;rc=150&amp;tr=685"/>
    <hyperlink ref="Q52" r:id="rId149" display="http://www.land.gov.il/TozaotMichrazim/resultsDetailed.aspx?id=76564&amp;rc=151&amp;tr=685"/>
    <hyperlink ref="Q47" r:id="rId150" display="http://www.land.gov.il/TozaotMichrazim/resultsDetailed.aspx?id=76565&amp;rc=152&amp;tr=685"/>
    <hyperlink ref="Q43" r:id="rId151" display="http://www.land.gov.il/TozaotMichrazim/resultsDetailed.aspx?id=76566&amp;rc=153&amp;tr=685"/>
    <hyperlink ref="Q42" r:id="rId152" display="http://www.land.gov.il/TozaotMichrazim/resultsDetailed.aspx?id=76567&amp;rc=154&amp;tr=685"/>
    <hyperlink ref="Q53" r:id="rId153" display="http://www.land.gov.il/TozaotMichrazim/resultsDetailed.aspx?id=76568&amp;rc=155&amp;tr=685"/>
    <hyperlink ref="Q51" r:id="rId154" display="http://www.land.gov.il/TozaotMichrazim/resultsDetailed.aspx?id=76569&amp;rc=156&amp;tr=685"/>
    <hyperlink ref="Q61" r:id="rId155" display="http://www.land.gov.il/TozaotMichrazim/resultsDetailed.aspx?id=76570&amp;rc=157&amp;tr=685"/>
    <hyperlink ref="Q44" r:id="rId156" display="http://www.land.gov.il/TozaotMichrazim/resultsDetailed.aspx?id=76571&amp;rc=158&amp;tr=685"/>
    <hyperlink ref="Q36" r:id="rId157" display="http://www.land.gov.il/TozaotMichrazim/resultsDetailed.aspx?id=76572&amp;rc=159&amp;tr=685"/>
    <hyperlink ref="Q40" r:id="rId158" display="http://www.land.gov.il/TozaotMichrazim/resultsDetailed.aspx?id=76573&amp;rc=160&amp;tr=685"/>
    <hyperlink ref="Q161" r:id="rId159" display="http://www.land.gov.il/TozaotMichrazim/resultsDetailed.aspx?id=86397&amp;rc=13&amp;tr=1693"/>
    <hyperlink ref="Q159" r:id="rId160" display="http://www.land.gov.il/TozaotMichrazim/resultsDetailed.aspx?id=86400&amp;rc=16&amp;tr=1693"/>
    <hyperlink ref="Q160" r:id="rId161" display="http://www.land.gov.il/TozaotMichrazim/resultsDetailed.aspx?id=86401&amp;rc=17&amp;tr=1693"/>
    <hyperlink ref="Q162" r:id="rId162" display="http://www.land.gov.il/TozaotMichrazim/resultsDetailed.aspx?id=86402&amp;rc=18&amp;tr=1693"/>
    <hyperlink ref="Q158" r:id="rId163" display="http://www.land.gov.il/TozaotMichrazim/resultsDetailed.aspx?id=86060&amp;rc=26&amp;tr=1693"/>
    <hyperlink ref="Q287" r:id="rId164" display="http://www.land.gov.il/TozaotMichrazim/resultsDetailed.aspx?id=84884&amp;rc=29&amp;tr=1693"/>
    <hyperlink ref="Q236" r:id="rId165" display="http://www.land.gov.il/TozaotMichrazim/resultsDetailed.aspx?id=84885&amp;rc=30&amp;tr=1693"/>
    <hyperlink ref="Q517" r:id="rId166" display="http://www.land.gov.il/TozaotMichrazim/resultsDetailed.aspx?id=84886&amp;rc=31&amp;tr=1693"/>
    <hyperlink ref="Q257" r:id="rId167" display="http://www.land.gov.il/TozaotMichrazim/resultsDetailed.aspx?id=84887&amp;rc=32&amp;tr=1693"/>
    <hyperlink ref="Q235" r:id="rId168" display="http://www.land.gov.il/TozaotMichrazim/resultsDetailed.aspx?id=84888&amp;rc=33&amp;tr=1693"/>
    <hyperlink ref="Q369" r:id="rId169" display="http://www.land.gov.il/TozaotMichrazim/resultsDetailed.aspx?id=84889&amp;rc=34&amp;tr=1693"/>
    <hyperlink ref="Q570" r:id="rId170" display="http://www.land.gov.il/TozaotMichrazim/resultsDetailed.aspx?id=84890&amp;rc=35&amp;tr=1693"/>
    <hyperlink ref="Q573" r:id="rId171" display="http://www.land.gov.il/TozaotMichrazim/resultsDetailed.aspx?id=84891&amp;rc=36&amp;tr=1693"/>
    <hyperlink ref="Q353" r:id="rId172" display="http://www.land.gov.il/TozaotMichrazim/resultsDetailed.aspx?id=84892&amp;rc=37&amp;tr=1693"/>
    <hyperlink ref="Q1012" r:id="rId173" display="http://www.land.gov.il/TozaotMichrazim/resultsDetailed.aspx?id=84893&amp;rc=38&amp;tr=1693"/>
    <hyperlink ref="Q982" r:id="rId174" display="http://www.land.gov.il/TozaotMichrazim/resultsDetailed.aspx?id=84894&amp;rc=39&amp;tr=1693"/>
    <hyperlink ref="Q925" r:id="rId175" display="http://www.land.gov.il/TozaotMichrazim/resultsDetailed.aspx?id=84895&amp;rc=40&amp;tr=1693"/>
    <hyperlink ref="Q943" r:id="rId176" display="http://www.land.gov.il/TozaotMichrazim/resultsDetailed.aspx?id=84896&amp;rc=41&amp;tr=1693"/>
    <hyperlink ref="Q929" r:id="rId177" display="http://www.land.gov.il/TozaotMichrazim/resultsDetailed.aspx?id=84897&amp;rc=42&amp;tr=1693"/>
    <hyperlink ref="Q533" r:id="rId178" display="http://www.land.gov.il/TozaotMichrazim/resultsDetailed.aspx?id=84898&amp;rc=43&amp;tr=1693"/>
    <hyperlink ref="Q270" r:id="rId179" display="http://www.land.gov.il/TozaotMichrazim/resultsDetailed.aspx?id=84899&amp;rc=44&amp;tr=1693"/>
    <hyperlink ref="Q301" r:id="rId180" display="http://www.land.gov.il/TozaotMichrazim/resultsDetailed.aspx?id=84900&amp;rc=45&amp;tr=1693"/>
    <hyperlink ref="Q862" r:id="rId181" display="http://www.land.gov.il/TozaotMichrazim/resultsDetailed.aspx?id=84901&amp;rc=46&amp;tr=1693"/>
    <hyperlink ref="Q366" r:id="rId182" display="http://www.land.gov.il/TozaotMichrazim/resultsDetailed.aspx?id=84902&amp;rc=47&amp;tr=1693"/>
    <hyperlink ref="Q859" r:id="rId183" display="http://www.land.gov.il/TozaotMichrazim/resultsDetailed.aspx?id=84903&amp;rc=48&amp;tr=1693"/>
    <hyperlink ref="Q713" r:id="rId184" display="http://www.land.gov.il/TozaotMichrazim/resultsDetailed.aspx?id=84904&amp;rc=49&amp;tr=1693"/>
    <hyperlink ref="Q259" r:id="rId185" display="http://www.land.gov.il/TozaotMichrazim/resultsDetailed.aspx?id=84905&amp;rc=50&amp;tr=1693"/>
    <hyperlink ref="Q332" r:id="rId186" display="http://www.land.gov.il/TozaotMichrazim/resultsDetailed.aspx?id=84906&amp;rc=51&amp;tr=1693"/>
    <hyperlink ref="Q735" r:id="rId187" display="http://www.land.gov.il/TozaotMichrazim/resultsDetailed.aspx?id=84907&amp;rc=52&amp;tr=1693"/>
    <hyperlink ref="Q519" r:id="rId188" display="http://www.land.gov.il/TozaotMichrazim/resultsDetailed.aspx?id=84909&amp;rc=54&amp;tr=1693"/>
    <hyperlink ref="Q1028" r:id="rId189" display="http://www.land.gov.il/TozaotMichrazim/resultsDetailed.aspx?id=84910&amp;rc=55&amp;tr=1693"/>
    <hyperlink ref="Q454" r:id="rId190" display="http://www.land.gov.il/TozaotMichrazim/resultsDetailed.aspx?id=84911&amp;rc=56&amp;tr=1693"/>
    <hyperlink ref="Q613" r:id="rId191" display="http://www.land.gov.il/TozaotMichrazim/resultsDetailed.aspx?id=84912&amp;rc=57&amp;tr=1693"/>
    <hyperlink ref="Q698" r:id="rId192" display="http://www.land.gov.il/TozaotMichrazim/resultsDetailed.aspx?id=84913&amp;rc=58&amp;tr=1693"/>
    <hyperlink ref="Q826" r:id="rId193" display="http://www.land.gov.il/TozaotMichrazim/resultsDetailed.aspx?id=84914&amp;rc=59&amp;tr=1693"/>
    <hyperlink ref="Q881" r:id="rId194" display="http://www.land.gov.il/TozaotMichrazim/resultsDetailed.aspx?id=84915&amp;rc=60&amp;tr=1693"/>
    <hyperlink ref="Q1021" r:id="rId195" display="http://www.land.gov.il/TozaotMichrazim/resultsDetailed.aspx?id=84916&amp;rc=61&amp;tr=1693"/>
    <hyperlink ref="Q690" r:id="rId196" display="http://www.land.gov.il/TozaotMichrazim/resultsDetailed.aspx?id=84917&amp;rc=62&amp;tr=1693"/>
    <hyperlink ref="Q387" r:id="rId197" display="http://www.land.gov.il/TozaotMichrazim/resultsDetailed.aspx?id=84918&amp;rc=63&amp;tr=1693"/>
    <hyperlink ref="Q487" r:id="rId198" display="http://www.land.gov.il/TozaotMichrazim/resultsDetailed.aspx?id=84919&amp;rc=64&amp;tr=1693"/>
    <hyperlink ref="Q289" r:id="rId199" display="http://www.land.gov.il/TozaotMichrazim/resultsDetailed.aspx?id=84920&amp;rc=65&amp;tr=1693"/>
    <hyperlink ref="Q633" r:id="rId200" display="http://www.land.gov.il/TozaotMichrazim/resultsDetailed.aspx?id=84921&amp;rc=66&amp;tr=1693"/>
    <hyperlink ref="Q1148" r:id="rId201" display="http://www.land.gov.il/TozaotMichrazim/resultsDetailed.aspx?id=84922&amp;rc=67&amp;tr=1693"/>
    <hyperlink ref="Q959" r:id="rId202" display="http://www.land.gov.il/TozaotMichrazim/resultsDetailed.aspx?id=84923&amp;rc=68&amp;tr=1693"/>
    <hyperlink ref="Q781" r:id="rId203" display="http://www.land.gov.il/TozaotMichrazim/resultsDetailed.aspx?id=84924&amp;rc=69&amp;tr=1693"/>
    <hyperlink ref="Q1036" r:id="rId204" display="http://www.land.gov.il/TozaotMichrazim/resultsDetailed.aspx?id=84925&amp;rc=70&amp;tr=1693"/>
    <hyperlink ref="Q957" r:id="rId205" display="http://www.land.gov.il/TozaotMichrazim/resultsDetailed.aspx?id=84926&amp;rc=71&amp;tr=1693"/>
    <hyperlink ref="Q960" r:id="rId206" display="http://www.land.gov.il/TozaotMichrazim/resultsDetailed.aspx?id=84927&amp;rc=72&amp;tr=1693"/>
    <hyperlink ref="Q773" r:id="rId207" display="http://www.land.gov.il/TozaotMichrazim/resultsDetailed.aspx?id=84928&amp;rc=73&amp;tr=1693"/>
    <hyperlink ref="Q967" r:id="rId208" display="http://www.land.gov.il/TozaotMichrazim/resultsDetailed.aspx?id=84929&amp;rc=74&amp;tr=1693"/>
    <hyperlink ref="Q617" r:id="rId209" display="http://www.land.gov.il/TozaotMichrazim/resultsDetailed.aspx?id=84930&amp;rc=75&amp;tr=1693"/>
    <hyperlink ref="Q958" r:id="rId210" display="http://www.land.gov.il/TozaotMichrazim/resultsDetailed.aspx?id=84931&amp;rc=76&amp;tr=1693"/>
    <hyperlink ref="Q249" r:id="rId211" display="http://www.land.gov.il/TozaotMichrazim/resultsDetailed.aspx?id=84932&amp;rc=77&amp;tr=1693"/>
    <hyperlink ref="Q216" r:id="rId212" display="http://www.land.gov.il/TozaotMichrazim/resultsDetailed.aspx?id=84933&amp;rc=78&amp;tr=1693"/>
    <hyperlink ref="Q344" r:id="rId213" display="http://www.land.gov.il/TozaotMichrazim/resultsDetailed.aspx?id=84934&amp;rc=79&amp;tr=1693"/>
    <hyperlink ref="Q795" r:id="rId214" display="http://www.land.gov.il/TozaotMichrazim/resultsDetailed.aspx?id=84935&amp;rc=80&amp;tr=1693"/>
    <hyperlink ref="Q1172" r:id="rId215" display="http://www.land.gov.il/TozaotMichrazim/resultsDetailed.aspx?id=84936&amp;rc=81&amp;tr=1693"/>
    <hyperlink ref="Q1024" r:id="rId216" display="http://www.land.gov.il/TozaotMichrazim/resultsDetailed.aspx?id=84937&amp;rc=82&amp;tr=1693"/>
    <hyperlink ref="Q996" r:id="rId217" display="http://www.land.gov.il/TozaotMichrazim/resultsDetailed.aspx?id=84938&amp;rc=83&amp;tr=1693"/>
    <hyperlink ref="Q856" r:id="rId218" display="http://www.land.gov.il/TozaotMichrazim/resultsDetailed.aspx?id=84939&amp;rc=84&amp;tr=1693"/>
    <hyperlink ref="Q927" r:id="rId219" display="http://www.land.gov.il/TozaotMichrazim/resultsDetailed.aspx?id=84940&amp;rc=85&amp;tr=1693"/>
    <hyperlink ref="Q904" r:id="rId220" display="http://www.land.gov.il/TozaotMichrazim/resultsDetailed.aspx?id=84941&amp;rc=86&amp;tr=1693"/>
    <hyperlink ref="Q175" r:id="rId221" display="http://www.land.gov.il/TozaotMichrazim/resultsDetailed.aspx?id=84942&amp;rc=87&amp;tr=1693"/>
    <hyperlink ref="Q761" r:id="rId222" display="http://www.land.gov.il/TozaotMichrazim/resultsDetailed.aspx?id=84943&amp;rc=88&amp;tr=1693"/>
    <hyperlink ref="Q647" r:id="rId223" display="http://www.land.gov.il/TozaotMichrazim/resultsDetailed.aspx?id=84944&amp;rc=89&amp;tr=1693"/>
    <hyperlink ref="Q732" r:id="rId224" display="http://www.land.gov.il/TozaotMichrazim/resultsDetailed.aspx?id=84945&amp;rc=90&amp;tr=1693"/>
    <hyperlink ref="Q561" r:id="rId225" display="http://www.land.gov.il/TozaotMichrazim/resultsDetailed.aspx?id=84946&amp;rc=91&amp;tr=1693"/>
    <hyperlink ref="Q438" r:id="rId226" display="http://www.land.gov.il/TozaotMichrazim/resultsDetailed.aspx?id=84947&amp;rc=92&amp;tr=1693"/>
    <hyperlink ref="Q825" r:id="rId227" display="http://www.land.gov.il/TozaotMichrazim/resultsDetailed.aspx?id=84948&amp;rc=93&amp;tr=1693"/>
    <hyperlink ref="Q977" r:id="rId228" display="http://www.land.gov.il/TozaotMichrazim/resultsDetailed.aspx?id=84949&amp;rc=94&amp;tr=1693"/>
    <hyperlink ref="Q694" r:id="rId229" display="http://www.land.gov.il/TozaotMichrazim/resultsDetailed.aspx?id=84950&amp;rc=95&amp;tr=1693"/>
    <hyperlink ref="Q753" r:id="rId230" display="http://www.land.gov.il/TozaotMichrazim/resultsDetailed.aspx?id=84951&amp;rc=96&amp;tr=1693"/>
    <hyperlink ref="Q731" r:id="rId231" display="http://www.land.gov.il/TozaotMichrazim/resultsDetailed.aspx?id=84952&amp;rc=97&amp;tr=1693"/>
    <hyperlink ref="Q591" r:id="rId232" display="http://www.land.gov.il/TozaotMichrazim/resultsDetailed.aspx?id=84953&amp;rc=98&amp;tr=1693"/>
    <hyperlink ref="Q508" r:id="rId233" display="http://www.land.gov.il/TozaotMichrazim/resultsDetailed.aspx?id=84954&amp;rc=99&amp;tr=1693"/>
    <hyperlink ref="Q840" r:id="rId234" display="http://www.land.gov.il/TozaotMichrazim/resultsDetailed.aspx?id=84955&amp;rc=100&amp;tr=1693"/>
    <hyperlink ref="Q863" r:id="rId235" display="http://www.land.gov.il/TozaotMichrazim/resultsDetailed.aspx?id=84956&amp;rc=101&amp;tr=1693"/>
    <hyperlink ref="Q945" r:id="rId236" display="http://www.land.gov.il/TozaotMichrazim/resultsDetailed.aspx?id=84957&amp;rc=102&amp;tr=1693"/>
    <hyperlink ref="Q986" r:id="rId237" display="http://www.land.gov.il/TozaotMichrazim/resultsDetailed.aspx?id=84958&amp;rc=103&amp;tr=1693"/>
    <hyperlink ref="Q888" r:id="rId238" display="http://www.land.gov.il/TozaotMichrazim/resultsDetailed.aspx?id=84960&amp;rc=105&amp;tr=1693"/>
    <hyperlink ref="Q885" r:id="rId239" display="http://www.land.gov.il/TozaotMichrazim/resultsDetailed.aspx?id=84961&amp;rc=106&amp;tr=1693"/>
    <hyperlink ref="Q1037" r:id="rId240" display="http://www.land.gov.il/TozaotMichrazim/resultsDetailed.aspx?id=84962&amp;rc=107&amp;tr=1693"/>
    <hyperlink ref="Q712" r:id="rId241" display="http://www.land.gov.il/TozaotMichrazim/resultsDetailed.aspx?id=84963&amp;rc=108&amp;tr=1693"/>
    <hyperlink ref="Q891" r:id="rId242" display="http://www.land.gov.il/TozaotMichrazim/resultsDetailed.aspx?id=84964&amp;rc=109&amp;tr=1693"/>
    <hyperlink ref="Q824" r:id="rId243" display="http://www.land.gov.il/TozaotMichrazim/resultsDetailed.aspx?id=84965&amp;rc=110&amp;tr=1693"/>
    <hyperlink ref="Q833" r:id="rId244" display="http://www.land.gov.il/TozaotMichrazim/resultsDetailed.aspx?id=84966&amp;rc=111&amp;tr=1693"/>
    <hyperlink ref="Q911" r:id="rId245" display="http://www.land.gov.il/TozaotMichrazim/resultsDetailed.aspx?id=84967&amp;rc=112&amp;tr=1693"/>
    <hyperlink ref="Q506" r:id="rId246" display="http://www.land.gov.il/TozaotMichrazim/resultsDetailed.aspx?id=84968&amp;rc=113&amp;tr=1693"/>
    <hyperlink ref="Q1025" r:id="rId247" display="http://www.land.gov.il/TozaotMichrazim/resultsDetailed.aspx?id=84969&amp;rc=114&amp;tr=1693"/>
    <hyperlink ref="Q979" r:id="rId248" display="http://www.land.gov.il/TozaotMichrazim/resultsDetailed.aspx?id=84970&amp;rc=115&amp;tr=1693"/>
    <hyperlink ref="Q879" r:id="rId249" display="http://www.land.gov.il/TozaotMichrazim/resultsDetailed.aspx?id=84971&amp;rc=116&amp;tr=1693"/>
    <hyperlink ref="Q187" r:id="rId250" display="http://www.land.gov.il/TozaotMichrazim/resultsDetailed.aspx?id=84975&amp;rc=120&amp;tr=1693"/>
    <hyperlink ref="Q240" r:id="rId251" display="http://www.land.gov.il/TozaotMichrazim/resultsDetailed.aspx?id=84977&amp;rc=122&amp;tr=1693"/>
    <hyperlink ref="Q469" r:id="rId252" display="http://www.land.gov.il/TozaotMichrazim/resultsDetailed.aspx?id=84978&amp;rc=123&amp;tr=1693"/>
    <hyperlink ref="Q1209" r:id="rId253" display="http://www.land.gov.il/TozaotMichrazim/resultsDetailed.aspx?id=84979&amp;rc=124&amp;tr=1693"/>
    <hyperlink ref="Q981" r:id="rId254" display="http://www.land.gov.il/TozaotMichrazim/resultsDetailed.aspx?id=84980&amp;rc=125&amp;tr=1693"/>
    <hyperlink ref="Q939" r:id="rId255" display="http://www.land.gov.il/TozaotMichrazim/resultsDetailed.aspx?id=84981&amp;rc=126&amp;tr=1693"/>
    <hyperlink ref="Q1134" r:id="rId256" display="http://www.land.gov.il/TozaotMichrazim/resultsDetailed.aspx?id=84982&amp;rc=127&amp;tr=1693"/>
    <hyperlink ref="Q297" r:id="rId257" display="http://www.land.gov.il/TozaotMichrazim/resultsDetailed.aspx?id=84983&amp;rc=128&amp;tr=1693"/>
    <hyperlink ref="Q307" r:id="rId258" display="http://www.land.gov.il/TozaotMichrazim/resultsDetailed.aspx?id=84984&amp;rc=129&amp;tr=1693"/>
    <hyperlink ref="Q370" r:id="rId259" display="http://www.land.gov.il/TozaotMichrazim/resultsDetailed.aspx?id=84985&amp;rc=130&amp;tr=1693"/>
    <hyperlink ref="Q586" r:id="rId260" display="http://www.land.gov.il/TozaotMichrazim/resultsDetailed.aspx?id=84986&amp;rc=131&amp;tr=1693"/>
    <hyperlink ref="Q267" r:id="rId261" display="http://www.land.gov.il/TozaotMichrazim/resultsDetailed.aspx?id=84987&amp;rc=132&amp;tr=1693"/>
    <hyperlink ref="Q224" r:id="rId262" display="http://www.land.gov.il/TozaotMichrazim/resultsDetailed.aspx?id=84988&amp;rc=133&amp;tr=1693"/>
    <hyperlink ref="Q495" r:id="rId263" display="http://www.land.gov.il/TozaotMichrazim/resultsDetailed.aspx?id=84989&amp;rc=134&amp;tr=1693"/>
    <hyperlink ref="Q1009" r:id="rId264" display="http://www.land.gov.il/TozaotMichrazim/resultsDetailed.aspx?id=84990&amp;rc=135&amp;tr=1693"/>
    <hyperlink ref="Q189" r:id="rId265" display="http://www.land.gov.il/TozaotMichrazim/resultsDetailed.aspx?id=84991&amp;rc=136&amp;tr=1693"/>
    <hyperlink ref="Q306" r:id="rId266" display="http://www.land.gov.il/TozaotMichrazim/resultsDetailed.aspx?id=84992&amp;rc=137&amp;tr=1693"/>
    <hyperlink ref="Q164" r:id="rId267" display="http://www.land.gov.il/TozaotMichrazim/resultsDetailed.aspx?id=84993&amp;rc=138&amp;tr=1693"/>
    <hyperlink ref="Q165" r:id="rId268" display="http://www.land.gov.il/TozaotMichrazim/resultsDetailed.aspx?id=84994&amp;rc=139&amp;tr=1693"/>
    <hyperlink ref="Q673" r:id="rId269" display="http://www.land.gov.il/TozaotMichrazim/resultsDetailed.aspx?id=84995&amp;rc=140&amp;tr=1693"/>
    <hyperlink ref="Q365" r:id="rId270" display="http://www.land.gov.il/TozaotMichrazim/resultsDetailed.aspx?id=84996&amp;rc=141&amp;tr=1693"/>
    <hyperlink ref="Q572" r:id="rId271" display="http://www.land.gov.il/TozaotMichrazim/resultsDetailed.aspx?id=84997&amp;rc=142&amp;tr=1693"/>
    <hyperlink ref="Q1128" r:id="rId272" display="http://www.land.gov.il/TozaotMichrazim/resultsDetailed.aspx?id=84998&amp;rc=143&amp;tr=1693"/>
    <hyperlink ref="Q870" r:id="rId273" display="http://www.land.gov.il/TozaotMichrazim/resultsDetailed.aspx?id=84999&amp;rc=144&amp;tr=1693"/>
    <hyperlink ref="Q1191" r:id="rId274" display="http://www.land.gov.il/TozaotMichrazim/resultsDetailed.aspx?id=85000&amp;rc=145&amp;tr=1693"/>
    <hyperlink ref="Q1192" r:id="rId275" display="http://www.land.gov.il/TozaotMichrazim/resultsDetailed.aspx?id=85001&amp;rc=146&amp;tr=1693"/>
    <hyperlink ref="Q973" r:id="rId276" display="http://www.land.gov.il/TozaotMichrazim/resultsDetailed.aspx?id=85002&amp;rc=147&amp;tr=1693"/>
    <hyperlink ref="Q1188" r:id="rId277" display="http://www.land.gov.il/TozaotMichrazim/resultsDetailed.aspx?id=85003&amp;rc=148&amp;tr=1693"/>
    <hyperlink ref="Q697" r:id="rId278" display="http://www.land.gov.il/TozaotMichrazim/resultsDetailed.aspx?id=85004&amp;rc=149&amp;tr=1693"/>
    <hyperlink ref="Q1139" r:id="rId279" display="http://www.land.gov.il/TozaotMichrazim/resultsDetailed.aspx?id=85005&amp;rc=150&amp;tr=1693"/>
    <hyperlink ref="Q1020" r:id="rId280" display="http://www.land.gov.il/TozaotMichrazim/resultsDetailed.aspx?id=85006&amp;rc=151&amp;tr=1693"/>
    <hyperlink ref="Q584" r:id="rId281" display="http://www.land.gov.il/TozaotMichrazim/resultsDetailed.aspx?id=85007&amp;rc=152&amp;tr=1693"/>
    <hyperlink ref="Q920" r:id="rId282" display="http://www.land.gov.il/TozaotMichrazim/resultsDetailed.aspx?id=85008&amp;rc=153&amp;tr=1693"/>
    <hyperlink ref="Q692" r:id="rId283" display="http://www.land.gov.il/TozaotMichrazim/resultsDetailed.aspx?id=85009&amp;rc=154&amp;tr=1693"/>
    <hyperlink ref="Q1143" r:id="rId284" display="http://www.land.gov.il/TozaotMichrazim/resultsDetailed.aspx?id=85010&amp;rc=155&amp;tr=1693"/>
    <hyperlink ref="Q860" r:id="rId285" display="http://www.land.gov.il/TozaotMichrazim/resultsDetailed.aspx?id=85011&amp;rc=156&amp;tr=1693"/>
    <hyperlink ref="Q849" r:id="rId286" display="http://www.land.gov.il/TozaotMichrazim/resultsDetailed.aspx?id=85012&amp;rc=157&amp;tr=1693"/>
    <hyperlink ref="Q642" r:id="rId287" display="http://www.land.gov.il/TozaotMichrazim/resultsDetailed.aspx?id=85013&amp;rc=158&amp;tr=1693"/>
    <hyperlink ref="Q394" r:id="rId288" display="http://www.land.gov.il/TozaotMichrazim/resultsDetailed.aspx?id=85014&amp;rc=159&amp;tr=1693"/>
    <hyperlink ref="Q1006" r:id="rId289" display="http://www.land.gov.il/TozaotMichrazim/resultsDetailed.aspx?id=85015&amp;rc=160&amp;tr=1693"/>
    <hyperlink ref="Q1004" r:id="rId290" display="http://www.land.gov.il/TozaotMichrazim/resultsDetailed.aspx?id=85016&amp;rc=161&amp;tr=1693"/>
    <hyperlink ref="Q522" r:id="rId291" display="http://www.land.gov.il/TozaotMichrazim/resultsDetailed.aspx?id=85017&amp;rc=162&amp;tr=1693"/>
    <hyperlink ref="Q1016" r:id="rId292" display="http://www.land.gov.il/TozaotMichrazim/resultsDetailed.aspx?id=85018&amp;rc=163&amp;tr=1693"/>
    <hyperlink ref="Q1019" r:id="rId293" display="http://www.land.gov.il/TozaotMichrazim/resultsDetailed.aspx?id=85019&amp;rc=164&amp;tr=1693"/>
    <hyperlink ref="Q932" r:id="rId294" display="http://www.land.gov.il/TozaotMichrazim/resultsDetailed.aspx?id=85020&amp;rc=165&amp;tr=1693"/>
    <hyperlink ref="Q391" r:id="rId295" display="http://www.land.gov.il/TozaotMichrazim/resultsDetailed.aspx?id=85021&amp;rc=166&amp;tr=1693"/>
    <hyperlink ref="Q922" r:id="rId296" display="http://www.land.gov.il/TozaotMichrazim/resultsDetailed.aspx?id=85022&amp;rc=167&amp;tr=1693"/>
    <hyperlink ref="Q1069" r:id="rId297" display="http://www.land.gov.il/TozaotMichrazim/resultsDetailed.aspx?id=85023&amp;rc=168&amp;tr=1693"/>
    <hyperlink ref="Q850" r:id="rId298" display="http://www.land.gov.il/TozaotMichrazim/resultsDetailed.aspx?id=85024&amp;rc=169&amp;tr=1693"/>
    <hyperlink ref="Q851" r:id="rId299" display="http://www.land.gov.il/TozaotMichrazim/resultsDetailed.aspx?id=85025&amp;rc=170&amp;tr=1693"/>
    <hyperlink ref="Q852" r:id="rId300" display="http://www.land.gov.il/TozaotMichrazim/resultsDetailed.aspx?id=85026&amp;rc=171&amp;tr=1693"/>
    <hyperlink ref="Q453" r:id="rId301" display="http://www.land.gov.il/TozaotMichrazim/resultsDetailed.aspx?id=85027&amp;rc=172&amp;tr=1693"/>
    <hyperlink ref="Q683" r:id="rId302" display="http://www.land.gov.il/TozaotMichrazim/resultsDetailed.aspx?id=85028&amp;rc=173&amp;tr=1693"/>
    <hyperlink ref="Q490" r:id="rId303" display="http://www.land.gov.il/TozaotMichrazim/resultsDetailed.aspx?id=85029&amp;rc=174&amp;tr=1693"/>
    <hyperlink ref="Q396" r:id="rId304" display="http://www.land.gov.il/TozaotMichrazim/resultsDetailed.aspx?id=85030&amp;rc=175&amp;tr=1693"/>
    <hyperlink ref="Q923" r:id="rId305" display="http://www.land.gov.il/TozaotMichrazim/resultsDetailed.aspx?id=85031&amp;rc=176&amp;tr=1693"/>
    <hyperlink ref="Q492" r:id="rId306" display="http://www.land.gov.il/TozaotMichrazim/resultsDetailed.aspx?id=85032&amp;rc=177&amp;tr=1693"/>
    <hyperlink ref="Q924" r:id="rId307" display="http://www.land.gov.il/TozaotMichrazim/resultsDetailed.aspx?id=85033&amp;rc=178&amp;tr=1693"/>
    <hyperlink ref="Q456" r:id="rId308" display="http://www.land.gov.il/TozaotMichrazim/resultsDetailed.aspx?id=85034&amp;rc=179&amp;tr=1693"/>
    <hyperlink ref="Q914" r:id="rId309" display="http://www.land.gov.il/TozaotMichrazim/resultsDetailed.aspx?id=85035&amp;rc=180&amp;tr=1693"/>
    <hyperlink ref="Q839" r:id="rId310" display="http://www.land.gov.il/TozaotMichrazim/resultsDetailed.aspx?id=85036&amp;rc=181&amp;tr=1693"/>
    <hyperlink ref="Q912" r:id="rId311" display="http://www.land.gov.il/TozaotMichrazim/resultsDetailed.aspx?id=85037&amp;rc=182&amp;tr=1693"/>
    <hyperlink ref="Q468" r:id="rId312" display="http://www.land.gov.il/TozaotMichrazim/resultsDetailed.aspx?id=85038&amp;rc=183&amp;tr=1693"/>
    <hyperlink ref="Q472" r:id="rId313" display="http://www.land.gov.il/TozaotMichrazim/resultsDetailed.aspx?id=85039&amp;rc=184&amp;tr=1693"/>
    <hyperlink ref="Q471" r:id="rId314" display="http://www.land.gov.il/TozaotMichrazim/resultsDetailed.aspx?id=85040&amp;rc=185&amp;tr=1693"/>
    <hyperlink ref="Q324" r:id="rId315" display="http://www.land.gov.il/TozaotMichrazim/resultsDetailed.aspx?id=85041&amp;rc=186&amp;tr=1693"/>
    <hyperlink ref="Q338" r:id="rId316" display="http://www.land.gov.il/TozaotMichrazim/resultsDetailed.aspx?id=85042&amp;rc=187&amp;tr=1693"/>
    <hyperlink ref="Q400" r:id="rId317" display="http://www.land.gov.il/TozaotMichrazim/resultsDetailed.aspx?id=85043&amp;rc=188&amp;tr=1693"/>
    <hyperlink ref="Q475" r:id="rId318" display="http://www.land.gov.il/TozaotMichrazim/resultsDetailed.aspx?id=85044&amp;rc=189&amp;tr=1693"/>
    <hyperlink ref="Q926" r:id="rId319" display="http://www.land.gov.il/TozaotMichrazim/resultsDetailed.aspx?id=85045&amp;rc=190&amp;tr=1693"/>
    <hyperlink ref="Q760" r:id="rId320" display="http://www.land.gov.il/TozaotMichrazim/resultsDetailed.aspx?id=85046&amp;rc=191&amp;tr=1693"/>
    <hyperlink ref="Q327" r:id="rId321" display="http://www.land.gov.il/TozaotMichrazim/resultsDetailed.aspx?id=85047&amp;rc=192&amp;tr=1693"/>
    <hyperlink ref="Q407" r:id="rId322" display="http://www.land.gov.il/TozaotMichrazim/resultsDetailed.aspx?id=85048&amp;rc=193&amp;tr=1693"/>
    <hyperlink ref="Q899" r:id="rId323" display="http://www.land.gov.il/TozaotMichrazim/resultsDetailed.aspx?id=85049&amp;rc=194&amp;tr=1693"/>
    <hyperlink ref="Q466" r:id="rId324" display="http://www.land.gov.il/TozaotMichrazim/resultsDetailed.aspx?id=85050&amp;rc=195&amp;tr=1693"/>
    <hyperlink ref="Q458" r:id="rId325" display="http://www.land.gov.il/TozaotMichrazim/resultsDetailed.aspx?id=85051&amp;rc=196&amp;tr=1693"/>
    <hyperlink ref="Q480" r:id="rId326" display="http://www.land.gov.il/TozaotMichrazim/resultsDetailed.aspx?id=85052&amp;rc=197&amp;tr=1693"/>
    <hyperlink ref="Q491" r:id="rId327" display="http://www.land.gov.il/TozaotMichrazim/resultsDetailed.aspx?id=85053&amp;rc=198&amp;tr=1693"/>
    <hyperlink ref="Q621" r:id="rId328" display="http://www.land.gov.il/TozaotMichrazim/resultsDetailed.aspx?id=85054&amp;rc=199&amp;tr=1693"/>
    <hyperlink ref="Q1322" r:id="rId329" display="http://www.land.gov.il/TozaotMichrazim/resultsDetailed.aspx?id=85055&amp;rc=200&amp;tr=1693"/>
    <hyperlink ref="Q405" r:id="rId330" display="http://www.land.gov.il/TozaotMichrazim/resultsDetailed.aspx?id=85056&amp;rc=201&amp;tr=1693"/>
    <hyperlink ref="Q1083" r:id="rId331" display="http://www.land.gov.il/TozaotMichrazim/resultsDetailed.aspx?id=85057&amp;rc=202&amp;tr=1693"/>
    <hyperlink ref="Q1014" r:id="rId332" display="http://www.land.gov.il/TozaotMichrazim/resultsDetailed.aspx?id=85058&amp;rc=203&amp;tr=1693"/>
    <hyperlink ref="Q372" r:id="rId333" display="http://www.land.gov.il/TozaotMichrazim/resultsDetailed.aspx?id=85059&amp;rc=204&amp;tr=1693"/>
    <hyperlink ref="Q597" r:id="rId334" display="http://www.land.gov.il/TozaotMichrazim/resultsDetailed.aspx?id=85060&amp;rc=205&amp;tr=1693"/>
    <hyperlink ref="Q634" r:id="rId335" display="http://www.land.gov.il/TozaotMichrazim/resultsDetailed.aspx?id=85061&amp;rc=206&amp;tr=1693"/>
    <hyperlink ref="Q800" r:id="rId336" display="http://www.land.gov.il/TozaotMichrazim/resultsDetailed.aspx?id=85062&amp;rc=207&amp;tr=1693"/>
    <hyperlink ref="Q1332" r:id="rId337" display="http://www.land.gov.il/TozaotMichrazim/resultsDetailed.aspx?id=85063&amp;rc=208&amp;tr=1693"/>
    <hyperlink ref="Q1040" r:id="rId338" display="http://www.land.gov.il/TozaotMichrazim/resultsDetailed.aspx?id=85064&amp;rc=209&amp;tr=1693"/>
    <hyperlink ref="Q428" r:id="rId339" display="http://www.land.gov.il/TozaotMichrazim/resultsDetailed.aspx?id=85065&amp;rc=210&amp;tr=1693"/>
    <hyperlink ref="Q560" r:id="rId340" display="http://www.land.gov.il/TozaotMichrazim/resultsDetailed.aspx?id=85066&amp;rc=211&amp;tr=1693"/>
    <hyperlink ref="Q425" r:id="rId341" display="http://www.land.gov.il/TozaotMichrazim/resultsDetailed.aspx?id=85067&amp;rc=212&amp;tr=1693"/>
    <hyperlink ref="Q408" r:id="rId342" display="http://www.land.gov.il/TozaotMichrazim/resultsDetailed.aspx?id=85068&amp;rc=213&amp;tr=1693"/>
    <hyperlink ref="Q782" r:id="rId343" display="http://www.land.gov.il/TozaotMichrazim/resultsDetailed.aspx?id=85069&amp;rc=214&amp;tr=1693"/>
    <hyperlink ref="Q624" r:id="rId344" display="http://www.land.gov.il/TozaotMichrazim/resultsDetailed.aspx?id=85070&amp;rc=215&amp;tr=1693"/>
    <hyperlink ref="Q1094" r:id="rId345" display="http://www.land.gov.il/TozaotMichrazim/resultsDetailed.aspx?id=85071&amp;rc=216&amp;tr=1693"/>
    <hyperlink ref="Q1159" r:id="rId346" display="http://www.land.gov.il/TozaotMichrazim/resultsDetailed.aspx?id=85072&amp;rc=217&amp;tr=1693"/>
    <hyperlink ref="Q546" r:id="rId347" display="http://www.land.gov.il/TozaotMichrazim/resultsDetailed.aspx?id=85073&amp;rc=218&amp;tr=1693"/>
    <hyperlink ref="Q1010" r:id="rId348" display="http://www.land.gov.il/TozaotMichrazim/resultsDetailed.aspx?id=85074&amp;rc=219&amp;tr=1693"/>
    <hyperlink ref="Q509" r:id="rId349" display="http://www.land.gov.il/TozaotMichrazim/resultsDetailed.aspx?id=85075&amp;rc=220&amp;tr=1693"/>
    <hyperlink ref="Q638" r:id="rId350" display="http://www.land.gov.il/TozaotMichrazim/resultsDetailed.aspx?id=85076&amp;rc=221&amp;tr=1693"/>
    <hyperlink ref="Q356" r:id="rId351" display="http://www.land.gov.il/TozaotMichrazim/resultsDetailed.aspx?id=85077&amp;rc=222&amp;tr=1693"/>
    <hyperlink ref="Q377" r:id="rId352" display="http://www.land.gov.il/TozaotMichrazim/resultsDetailed.aspx?id=85078&amp;rc=223&amp;tr=1693"/>
    <hyperlink ref="Q195" r:id="rId353" display="http://www.land.gov.il/TozaotMichrazim/resultsDetailed.aspx?id=85079&amp;rc=224&amp;tr=1693"/>
    <hyperlink ref="Q1312" r:id="rId354" display="http://www.land.gov.il/TozaotMichrazim/resultsDetailed.aspx?id=85080&amp;rc=225&amp;tr=1693"/>
    <hyperlink ref="Q609" r:id="rId355" display="http://www.land.gov.il/TozaotMichrazim/resultsDetailed.aspx?id=85081&amp;rc=226&amp;tr=1693"/>
    <hyperlink ref="Q897" r:id="rId356" display="http://www.land.gov.il/TozaotMichrazim/resultsDetailed.aspx?id=85082&amp;rc=227&amp;tr=1693"/>
    <hyperlink ref="Q345" r:id="rId357" display="http://www.land.gov.il/TozaotMichrazim/resultsDetailed.aspx?id=85083&amp;rc=228&amp;tr=1693"/>
    <hyperlink ref="Q478" r:id="rId358" display="http://www.land.gov.il/TozaotMichrazim/resultsDetailed.aspx?id=85084&amp;rc=229&amp;tr=1693"/>
    <hyperlink ref="Q520" r:id="rId359" display="http://www.land.gov.il/TozaotMichrazim/resultsDetailed.aspx?id=85085&amp;rc=230&amp;tr=1693"/>
    <hyperlink ref="Q643" r:id="rId360" display="http://www.land.gov.il/TozaotMichrazim/resultsDetailed.aspx?id=85086&amp;rc=231&amp;tr=1693"/>
    <hyperlink ref="Q386" r:id="rId361" display="http://www.land.gov.il/TozaotMichrazim/resultsDetailed.aspx?id=85087&amp;rc=232&amp;tr=1693"/>
    <hyperlink ref="Q540" r:id="rId362" display="http://www.land.gov.il/TozaotMichrazim/resultsDetailed.aspx?id=85088&amp;rc=233&amp;tr=1693"/>
    <hyperlink ref="Q589" r:id="rId363" display="http://www.land.gov.il/TozaotMichrazim/resultsDetailed.aspx?id=85089&amp;rc=234&amp;tr=1693"/>
    <hyperlink ref="Q541" r:id="rId364" display="http://www.land.gov.il/TozaotMichrazim/resultsDetailed.aspx?id=85090&amp;rc=235&amp;tr=1693"/>
    <hyperlink ref="Q452" r:id="rId365" display="http://www.land.gov.il/TozaotMichrazim/resultsDetailed.aspx?id=85091&amp;rc=236&amp;tr=1693"/>
    <hyperlink ref="Q537" r:id="rId366" display="http://www.land.gov.il/TozaotMichrazim/resultsDetailed.aspx?id=85092&amp;rc=237&amp;tr=1693"/>
    <hyperlink ref="Q569" r:id="rId367" display="http://www.land.gov.il/TozaotMichrazim/resultsDetailed.aspx?id=85093&amp;rc=238&amp;tr=1693"/>
    <hyperlink ref="Q677" r:id="rId368" display="http://www.land.gov.il/TozaotMichrazim/resultsDetailed.aspx?id=85094&amp;rc=239&amp;tr=1693"/>
    <hyperlink ref="Q1130" r:id="rId369" display="http://www.land.gov.il/TozaotMichrazim/resultsDetailed.aspx?id=85095&amp;rc=240&amp;tr=1693"/>
    <hyperlink ref="Q992" r:id="rId370" display="http://www.land.gov.il/TozaotMichrazim/resultsDetailed.aspx?id=85096&amp;rc=241&amp;tr=1693"/>
    <hyperlink ref="Q358" r:id="rId371" display="http://www.land.gov.il/TozaotMichrazim/resultsDetailed.aspx?id=85097&amp;rc=242&amp;tr=1693"/>
    <hyperlink ref="Q294" r:id="rId372" display="http://www.land.gov.il/TozaotMichrazim/resultsDetailed.aspx?id=85098&amp;rc=243&amp;tr=1693"/>
    <hyperlink ref="Q462" r:id="rId373" display="http://www.land.gov.il/TozaotMichrazim/resultsDetailed.aspx?id=85099&amp;rc=244&amp;tr=1693"/>
    <hyperlink ref="Q758" r:id="rId374" display="http://www.land.gov.il/TozaotMichrazim/resultsDetailed.aspx?id=85100&amp;rc=245&amp;tr=1693"/>
    <hyperlink ref="Q181" r:id="rId375" display="http://www.land.gov.il/TozaotMichrazim/resultsDetailed.aspx?id=85101&amp;rc=246&amp;tr=1693"/>
    <hyperlink ref="Q596" r:id="rId376" display="http://www.land.gov.il/TozaotMichrazim/resultsDetailed.aspx?id=85102&amp;rc=247&amp;tr=1693"/>
    <hyperlink ref="Q684" r:id="rId377" display="http://www.land.gov.il/TozaotMichrazim/resultsDetailed.aspx?id=85103&amp;rc=248&amp;tr=1693"/>
    <hyperlink ref="Q994" r:id="rId378" display="http://www.land.gov.il/TozaotMichrazim/resultsDetailed.aspx?id=85104&amp;rc=249&amp;tr=1693"/>
    <hyperlink ref="Q500" r:id="rId379" display="http://www.land.gov.il/TozaotMichrazim/resultsDetailed.aspx?id=85105&amp;rc=250&amp;tr=1693"/>
    <hyperlink ref="Q549" r:id="rId380" display="http://www.land.gov.il/TozaotMichrazim/resultsDetailed.aspx?id=85106&amp;rc=251&amp;tr=1693"/>
    <hyperlink ref="Q238" r:id="rId381" display="http://www.land.gov.il/TozaotMichrazim/resultsDetailed.aspx?id=85107&amp;rc=252&amp;tr=1693"/>
    <hyperlink ref="Q352" r:id="rId382" display="http://www.land.gov.il/TozaotMichrazim/resultsDetailed.aspx?id=85108&amp;rc=253&amp;tr=1693"/>
    <hyperlink ref="Q350" r:id="rId383" display="http://www.land.gov.il/TozaotMichrazim/resultsDetailed.aspx?id=85109&amp;rc=254&amp;tr=1693"/>
    <hyperlink ref="Q250" r:id="rId384" display="http://www.land.gov.il/TozaotMichrazim/resultsDetailed.aspx?id=85110&amp;rc=255&amp;tr=1693"/>
    <hyperlink ref="Q706" r:id="rId385" display="http://www.land.gov.il/TozaotMichrazim/resultsDetailed.aspx?id=85111&amp;rc=256&amp;tr=1693"/>
    <hyperlink ref="Q282" r:id="rId386" display="http://www.land.gov.il/TozaotMichrazim/resultsDetailed.aspx?id=85112&amp;rc=257&amp;tr=1693"/>
    <hyperlink ref="Q166" r:id="rId387" display="http://www.land.gov.il/TozaotMichrazim/resultsDetailed.aspx?id=85114&amp;rc=259&amp;tr=1693"/>
    <hyperlink ref="Q261" r:id="rId388" display="http://www.land.gov.il/TozaotMichrazim/resultsDetailed.aspx?id=85115&amp;rc=260&amp;tr=1693"/>
    <hyperlink ref="Q318" r:id="rId389" display="http://www.land.gov.il/TozaotMichrazim/resultsDetailed.aspx?id=85116&amp;rc=261&amp;tr=1693"/>
    <hyperlink ref="Q778" r:id="rId390" display="http://www.land.gov.il/TozaotMichrazim/resultsDetailed.aspx?id=85117&amp;rc=262&amp;tr=1693"/>
    <hyperlink ref="Q708" r:id="rId391" display="http://www.land.gov.il/TozaotMichrazim/resultsDetailed.aspx?id=85118&amp;rc=263&amp;tr=1693"/>
    <hyperlink ref="Q769" r:id="rId392" display="http://www.land.gov.il/TozaotMichrazim/resultsDetailed.aspx?id=85119&amp;rc=264&amp;tr=1693"/>
    <hyperlink ref="Q657" r:id="rId393" display="http://www.land.gov.il/TozaotMichrazim/resultsDetailed.aspx?id=85120&amp;rc=265&amp;tr=1693"/>
    <hyperlink ref="Q740" r:id="rId394" display="http://www.land.gov.il/TozaotMichrazim/resultsDetailed.aspx?id=85121&amp;rc=266&amp;tr=1693"/>
    <hyperlink ref="Q444" r:id="rId395" display="http://www.land.gov.il/TozaotMichrazim/resultsDetailed.aspx?id=85122&amp;rc=267&amp;tr=1693"/>
    <hyperlink ref="Q185" r:id="rId396" display="http://www.land.gov.il/TozaotMichrazim/resultsDetailed.aspx?id=85124&amp;rc=269&amp;tr=1693"/>
    <hyperlink ref="Q359" r:id="rId397" display="http://www.land.gov.il/TozaotMichrazim/resultsDetailed.aspx?id=85126&amp;rc=271&amp;tr=1693"/>
    <hyperlink ref="Q942" r:id="rId398" display="http://www.land.gov.il/TozaotMichrazim/resultsDetailed.aspx?id=85129&amp;rc=274&amp;tr=1693"/>
    <hyperlink ref="Q873" r:id="rId399" display="http://www.land.gov.il/TozaotMichrazim/resultsDetailed.aspx?id=85130&amp;rc=275&amp;tr=1693"/>
    <hyperlink ref="Q399" r:id="rId400" display="http://www.land.gov.il/TozaotMichrazim/resultsDetailed.aspx?id=85131&amp;rc=276&amp;tr=1693"/>
    <hyperlink ref="Q1299" r:id="rId401" display="http://www.land.gov.il/TozaotMichrazim/resultsDetailed.aspx?id=85133&amp;rc=278&amp;tr=1693"/>
    <hyperlink ref="Q280" r:id="rId402" display="http://www.land.gov.il/TozaotMichrazim/resultsDetailed.aspx?id=85134&amp;rc=279&amp;tr=1693"/>
    <hyperlink ref="Q342" r:id="rId403" display="http://www.land.gov.il/TozaotMichrazim/resultsDetailed.aspx?id=85135&amp;rc=280&amp;tr=1693"/>
    <hyperlink ref="Q513" r:id="rId404" display="http://www.land.gov.il/TozaotMichrazim/resultsDetailed.aspx?id=85138&amp;rc=283&amp;tr=1693"/>
    <hyperlink ref="Q1152" r:id="rId405" display="http://www.land.gov.il/TozaotMichrazim/resultsDetailed.aspx?id=85139&amp;rc=284&amp;tr=1693"/>
    <hyperlink ref="Q599" r:id="rId406" display="http://www.land.gov.il/TozaotMichrazim/resultsDetailed.aspx?id=85140&amp;rc=285&amp;tr=1693"/>
    <hyperlink ref="Q232" r:id="rId407" display="http://www.land.gov.il/TozaotMichrazim/resultsDetailed.aspx?id=85141&amp;rc=286&amp;tr=1693"/>
    <hyperlink ref="Q446" r:id="rId408" display="http://www.land.gov.il/TozaotMichrazim/resultsDetailed.aspx?id=85142&amp;rc=287&amp;tr=1693"/>
    <hyperlink ref="Q476" r:id="rId409" display="http://www.land.gov.il/TozaotMichrazim/resultsDetailed.aspx?id=85143&amp;rc=288&amp;tr=1693"/>
    <hyperlink ref="Q368" r:id="rId410" display="http://www.land.gov.il/TozaotMichrazim/resultsDetailed.aspx?id=85144&amp;rc=289&amp;tr=1693"/>
    <hyperlink ref="Q357" r:id="rId411" display="http://www.land.gov.il/TozaotMichrazim/resultsDetailed.aspx?id=85146&amp;rc=291&amp;tr=1693"/>
    <hyperlink ref="Q606" r:id="rId412" display="http://www.land.gov.il/TozaotMichrazim/resultsDetailed.aspx?id=85147&amp;rc=292&amp;tr=1693"/>
    <hyperlink ref="Q607" r:id="rId413" display="http://www.land.gov.il/TozaotMichrazim/resultsDetailed.aspx?id=85148&amp;rc=293&amp;tr=1693"/>
    <hyperlink ref="Q701" r:id="rId414" display="http://www.land.gov.il/TozaotMichrazim/resultsDetailed.aspx?id=85150&amp;rc=295&amp;tr=1693"/>
    <hyperlink ref="Q421" r:id="rId415" display="http://www.land.gov.il/TozaotMichrazim/resultsDetailed.aspx?id=85151&amp;rc=296&amp;tr=1693"/>
    <hyperlink ref="Q422" r:id="rId416" display="http://www.land.gov.il/TozaotMichrazim/resultsDetailed.aspx?id=85152&amp;rc=297&amp;tr=1693"/>
    <hyperlink ref="Q263" r:id="rId417" display="http://www.land.gov.il/TozaotMichrazim/resultsDetailed.aspx?id=85153&amp;rc=298&amp;tr=1693"/>
    <hyperlink ref="Q455" r:id="rId418" display="http://www.land.gov.il/TozaotMichrazim/resultsDetailed.aspx?id=85154&amp;rc=299&amp;tr=1693"/>
    <hyperlink ref="Q360" r:id="rId419" display="http://www.land.gov.il/TozaotMichrazim/resultsDetailed.aspx?id=85155&amp;rc=300&amp;tr=1693"/>
    <hyperlink ref="Q743" r:id="rId420" display="http://www.land.gov.il/TozaotMichrazim/resultsDetailed.aspx?id=85156&amp;rc=301&amp;tr=1693"/>
    <hyperlink ref="Q523" r:id="rId421" display="http://www.land.gov.il/TozaotMichrazim/resultsDetailed.aspx?id=85157&amp;rc=302&amp;tr=1693"/>
    <hyperlink ref="Q1319" r:id="rId422" display="http://www.land.gov.il/TozaotMichrazim/resultsDetailed.aspx?id=85158&amp;rc=303&amp;tr=1693"/>
    <hyperlink ref="Q890" r:id="rId423" display="http://www.land.gov.il/TozaotMichrazim/resultsDetailed.aspx?id=85159&amp;rc=304&amp;tr=1693"/>
    <hyperlink ref="Q770" r:id="rId424" display="http://www.land.gov.il/TozaotMichrazim/resultsDetailed.aspx?id=85160&amp;rc=305&amp;tr=1693"/>
    <hyperlink ref="Q813" r:id="rId425" display="http://www.land.gov.il/TozaotMichrazim/resultsDetailed.aspx?id=85161&amp;rc=306&amp;tr=1693"/>
    <hyperlink ref="Q811" r:id="rId426" display="http://www.land.gov.il/TozaotMichrazim/resultsDetailed.aspx?id=85162&amp;rc=307&amp;tr=1693"/>
    <hyperlink ref="Q623" r:id="rId427" display="http://www.land.gov.il/TozaotMichrazim/resultsDetailed.aspx?id=85163&amp;rc=308&amp;tr=1693"/>
    <hyperlink ref="Q1090" r:id="rId428" display="http://www.land.gov.il/TozaotMichrazim/resultsDetailed.aspx?id=85164&amp;rc=309&amp;tr=1693"/>
    <hyperlink ref="Q812" r:id="rId429" display="http://www.land.gov.il/TozaotMichrazim/resultsDetailed.aspx?id=85165&amp;rc=310&amp;tr=1693"/>
    <hyperlink ref="Q841" r:id="rId430" display="http://www.land.gov.il/TozaotMichrazim/resultsDetailed.aspx?id=85166&amp;rc=311&amp;tr=1693"/>
    <hyperlink ref="Q378" r:id="rId431" display="http://www.land.gov.il/TozaotMichrazim/resultsDetailed.aspx?id=85167&amp;rc=312&amp;tr=1693"/>
    <hyperlink ref="Q842" r:id="rId432" display="http://www.land.gov.il/TozaotMichrazim/resultsDetailed.aspx?id=85168&amp;rc=313&amp;tr=1693"/>
    <hyperlink ref="Q703" r:id="rId433" display="http://www.land.gov.il/TozaotMichrazim/resultsDetailed.aspx?id=85169&amp;rc=314&amp;tr=1693"/>
    <hyperlink ref="Q174" r:id="rId434" display="http://www.land.gov.il/TozaotMichrazim/resultsDetailed.aspx?id=85170&amp;rc=315&amp;tr=1693"/>
    <hyperlink ref="Q168" r:id="rId435" display="http://www.land.gov.il/TozaotMichrazim/resultsDetailed.aspx?id=85171&amp;rc=316&amp;tr=1693"/>
    <hyperlink ref="Q445" r:id="rId436" display="http://www.land.gov.il/TozaotMichrazim/resultsDetailed.aspx?id=85172&amp;rc=317&amp;tr=1693"/>
    <hyperlink ref="Q207" r:id="rId437" display="http://www.land.gov.il/TozaotMichrazim/resultsDetailed.aspx?id=85173&amp;rc=318&amp;tr=1693"/>
    <hyperlink ref="Q1291" r:id="rId438" display="http://www.land.gov.il/TozaotMichrazim/resultsDetailed.aspx?id=85174&amp;rc=319&amp;tr=1693"/>
    <hyperlink ref="Q578" r:id="rId439" display="http://www.land.gov.il/TozaotMichrazim/resultsDetailed.aspx?id=85175&amp;rc=320&amp;tr=1693"/>
    <hyperlink ref="Q556" r:id="rId440" display="http://www.land.gov.il/TozaotMichrazim/resultsDetailed.aspx?id=85176&amp;rc=321&amp;tr=1693"/>
    <hyperlink ref="Q389" r:id="rId441" display="http://www.land.gov.il/TozaotMichrazim/resultsDetailed.aspx?id=85177&amp;rc=322&amp;tr=1693"/>
    <hyperlink ref="Q594" r:id="rId442" display="http://www.land.gov.il/TozaotMichrazim/resultsDetailed.aspx?id=85178&amp;rc=323&amp;tr=1693"/>
    <hyperlink ref="Q875" r:id="rId443" display="http://www.land.gov.il/TozaotMichrazim/resultsDetailed.aspx?id=85179&amp;rc=324&amp;tr=1693"/>
    <hyperlink ref="Q552" r:id="rId444" display="http://www.land.gov.il/TozaotMichrazim/resultsDetailed.aspx?id=85180&amp;rc=325&amp;tr=1693"/>
    <hyperlink ref="Q525" r:id="rId445" display="http://www.land.gov.il/TozaotMichrazim/resultsDetailed.aspx?id=85181&amp;rc=326&amp;tr=1693"/>
    <hyperlink ref="Q585" r:id="rId446" display="http://www.land.gov.il/TozaotMichrazim/resultsDetailed.aspx?id=85182&amp;rc=327&amp;tr=1693"/>
    <hyperlink ref="Q754" r:id="rId447" display="http://www.land.gov.il/TozaotMichrazim/resultsDetailed.aspx?id=85183&amp;rc=328&amp;tr=1693"/>
    <hyperlink ref="Q1101" r:id="rId448" display="http://www.land.gov.il/TozaotMichrazim/resultsDetailed.aspx?id=85184&amp;rc=329&amp;tr=1693"/>
    <hyperlink ref="Q1131" r:id="rId449" display="http://www.land.gov.il/TozaotMichrazim/resultsDetailed.aspx?id=85185&amp;rc=330&amp;tr=1693"/>
    <hyperlink ref="Q906" r:id="rId450" display="http://www.land.gov.il/TozaotMichrazim/resultsDetailed.aspx?id=85186&amp;rc=331&amp;tr=1693"/>
    <hyperlink ref="Q571" r:id="rId451" display="http://www.land.gov.il/TozaotMichrazim/resultsDetailed.aspx?id=85187&amp;rc=332&amp;tr=1693"/>
    <hyperlink ref="Q798" r:id="rId452" display="http://www.land.gov.il/TozaotMichrazim/resultsDetailed.aspx?id=85188&amp;rc=333&amp;tr=1693"/>
    <hyperlink ref="Q474" r:id="rId453" display="http://www.land.gov.il/TozaotMichrazim/resultsDetailed.aspx?id=85189&amp;rc=334&amp;tr=1693"/>
    <hyperlink ref="Q295" r:id="rId454" display="http://www.land.gov.il/TozaotMichrazim/resultsDetailed.aspx?id=85190&amp;rc=335&amp;tr=1693"/>
    <hyperlink ref="Q431" r:id="rId455" display="http://www.land.gov.il/TozaotMichrazim/resultsDetailed.aspx?id=85191&amp;rc=336&amp;tr=1693"/>
    <hyperlink ref="Q622" r:id="rId456" display="http://www.land.gov.il/TozaotMichrazim/resultsDetailed.aspx?id=85192&amp;rc=337&amp;tr=1693"/>
    <hyperlink ref="Q759" r:id="rId457" display="http://www.land.gov.il/TozaotMichrazim/resultsDetailed.aspx?id=85193&amp;rc=338&amp;tr=1693"/>
    <hyperlink ref="Q726" r:id="rId458" display="http://www.land.gov.il/TozaotMichrazim/resultsDetailed.aspx?id=85194&amp;rc=339&amp;tr=1693"/>
    <hyperlink ref="Q1196" r:id="rId459" display="http://www.land.gov.il/TozaotMichrazim/resultsDetailed.aspx?id=85195&amp;rc=340&amp;tr=1693"/>
    <hyperlink ref="Q733" r:id="rId460" display="http://www.land.gov.il/TozaotMichrazim/resultsDetailed.aspx?id=85196&amp;rc=341&amp;tr=1693"/>
    <hyperlink ref="Q403" r:id="rId461" display="http://www.land.gov.il/TozaotMichrazim/resultsDetailed.aspx?id=85197&amp;rc=342&amp;tr=1693"/>
    <hyperlink ref="Q404" r:id="rId462" display="http://www.land.gov.il/TozaotMichrazim/resultsDetailed.aspx?id=85198&amp;rc=343&amp;tr=1693"/>
    <hyperlink ref="Q430" r:id="rId463" display="http://www.land.gov.il/TozaotMichrazim/resultsDetailed.aspx?id=85199&amp;rc=344&amp;tr=1693"/>
    <hyperlink ref="Q855" r:id="rId464" display="http://www.land.gov.il/TozaotMichrazim/resultsDetailed.aspx?id=85200&amp;rc=345&amp;tr=1693"/>
    <hyperlink ref="Q821" r:id="rId465" display="http://www.land.gov.il/TozaotMichrazim/resultsDetailed.aspx?id=85201&amp;rc=346&amp;tr=1693"/>
    <hyperlink ref="Q792" r:id="rId466" display="http://www.land.gov.il/TozaotMichrazim/resultsDetailed.aspx?id=85202&amp;rc=347&amp;tr=1693"/>
    <hyperlink ref="Q1109" r:id="rId467" display="http://www.land.gov.il/TozaotMichrazim/resultsDetailed.aspx?id=85203&amp;rc=348&amp;tr=1693"/>
    <hyperlink ref="Q1144" r:id="rId468" display="http://www.land.gov.il/TozaotMichrazim/resultsDetailed.aspx?id=85204&amp;rc=349&amp;tr=1693"/>
    <hyperlink ref="Q1065" r:id="rId469" display="http://www.land.gov.il/TozaotMichrazim/resultsDetailed.aspx?id=85205&amp;rc=350&amp;tr=1693"/>
    <hyperlink ref="Q933" r:id="rId470" display="http://www.land.gov.il/TozaotMichrazim/resultsDetailed.aspx?id=85206&amp;rc=351&amp;tr=1693"/>
    <hyperlink ref="Q1022" r:id="rId471" display="http://www.land.gov.il/TozaotMichrazim/resultsDetailed.aspx?id=85207&amp;rc=352&amp;tr=1693"/>
    <hyperlink ref="Q1034" r:id="rId472" display="http://www.land.gov.il/TozaotMichrazim/resultsDetailed.aspx?id=85208&amp;rc=353&amp;tr=1693"/>
    <hyperlink ref="Q562" r:id="rId473" display="http://www.land.gov.il/TozaotMichrazim/resultsDetailed.aspx?id=85209&amp;rc=354&amp;tr=1693"/>
    <hyperlink ref="Q440" r:id="rId474" display="http://www.land.gov.il/TozaotMichrazim/resultsDetailed.aspx?id=85210&amp;rc=355&amp;tr=1693"/>
    <hyperlink ref="Q737" r:id="rId475" display="http://www.land.gov.il/TozaotMichrazim/resultsDetailed.aspx?id=85211&amp;rc=356&amp;tr=1693"/>
    <hyperlink ref="Q333" r:id="rId476" display="http://www.land.gov.il/TozaotMichrazim/resultsDetailed.aspx?id=85212&amp;rc=357&amp;tr=1693"/>
    <hyperlink ref="Q1316" r:id="rId477" display="http://www.land.gov.il/TozaotMichrazim/resultsDetailed.aspx?id=85213&amp;rc=358&amp;tr=1693"/>
    <hyperlink ref="Q256" r:id="rId478" display="http://www.land.gov.il/TozaotMichrazim/resultsDetailed.aspx?id=85214&amp;rc=359&amp;tr=1693"/>
    <hyperlink ref="Q285" r:id="rId479" display="http://www.land.gov.il/TozaotMichrazim/resultsDetailed.aspx?id=85215&amp;rc=360&amp;tr=1693"/>
    <hyperlink ref="Q220" r:id="rId480" display="http://www.land.gov.il/TozaotMichrazim/resultsDetailed.aspx?id=85217&amp;rc=362&amp;tr=1693"/>
    <hyperlink ref="Q183" r:id="rId481" display="http://www.land.gov.il/TozaotMichrazim/resultsDetailed.aspx?id=85218&amp;rc=363&amp;tr=1693"/>
    <hyperlink ref="Q320" r:id="rId482" display="http://www.land.gov.il/TozaotMichrazim/resultsDetailed.aspx?id=85219&amp;rc=364&amp;tr=1693"/>
    <hyperlink ref="Q818" r:id="rId483" display="http://www.land.gov.il/TozaotMichrazim/resultsDetailed.aspx?id=85220&amp;rc=365&amp;tr=1693"/>
    <hyperlink ref="Q1146" r:id="rId484" display="http://www.land.gov.il/TozaotMichrazim/resultsDetailed.aspx?id=85221&amp;rc=366&amp;tr=1693"/>
    <hyperlink ref="Q504" r:id="rId485" display="http://www.land.gov.il/TozaotMichrazim/resultsDetailed.aspx?id=85222&amp;rc=367&amp;tr=1693"/>
    <hyperlink ref="Q619" r:id="rId486" display="http://www.land.gov.il/TozaotMichrazim/resultsDetailed.aspx?id=85223&amp;rc=368&amp;tr=1693"/>
    <hyperlink ref="Q272" r:id="rId487" display="http://www.land.gov.il/TozaotMichrazim/resultsDetailed.aspx?id=85224&amp;rc=369&amp;tr=1693"/>
    <hyperlink ref="Q545" r:id="rId488" display="http://www.land.gov.il/TozaotMichrazim/resultsDetailed.aspx?id=85225&amp;rc=370&amp;tr=1693"/>
    <hyperlink ref="Q593" r:id="rId489" display="http://www.land.gov.il/TozaotMichrazim/resultsDetailed.aspx?id=85226&amp;rc=371&amp;tr=1693"/>
    <hyperlink ref="Q1123" r:id="rId490" display="http://www.land.gov.il/TozaotMichrazim/resultsDetailed.aspx?id=85227&amp;rc=372&amp;tr=1693"/>
    <hyperlink ref="Q416" r:id="rId491" display="http://www.land.gov.il/TozaotMichrazim/resultsDetailed.aspx?id=85229&amp;rc=374&amp;tr=1693"/>
    <hyperlink ref="Q771" r:id="rId492" display="http://www.land.gov.il/TozaotMichrazim/resultsDetailed.aspx?id=85230&amp;rc=375&amp;tr=1693"/>
    <hyperlink ref="Q764" r:id="rId493" display="http://www.land.gov.il/TozaotMichrazim/resultsDetailed.aspx?id=85231&amp;rc=376&amp;tr=1693"/>
    <hyperlink ref="Q1307" r:id="rId494" display="http://www.land.gov.il/TozaotMichrazim/resultsDetailed.aspx?id=85232&amp;rc=377&amp;tr=1693"/>
    <hyperlink ref="Q305" r:id="rId495" display="http://www.land.gov.il/TozaotMichrazim/resultsDetailed.aspx?id=85233&amp;rc=378&amp;tr=1693"/>
    <hyperlink ref="Q199" r:id="rId496" display="http://www.land.gov.il/TozaotMichrazim/resultsDetailed.aspx?id=85235&amp;rc=380&amp;tr=1693"/>
    <hyperlink ref="Q395" r:id="rId497" display="http://www.land.gov.il/TozaotMichrazim/resultsDetailed.aspx?id=85237&amp;rc=382&amp;tr=1693"/>
    <hyperlink ref="Q178" r:id="rId498" display="http://www.land.gov.il/TozaotMichrazim/resultsDetailed.aspx?id=85239&amp;rc=384&amp;tr=1693"/>
    <hyperlink ref="Q340" r:id="rId499" display="http://www.land.gov.il/TozaotMichrazim/resultsDetailed.aspx?id=85241&amp;rc=386&amp;tr=1693"/>
    <hyperlink ref="Q302" r:id="rId500" display="http://www.land.gov.il/TozaotMichrazim/resultsDetailed.aspx?id=85244&amp;rc=389&amp;tr=1693"/>
    <hyperlink ref="Q704" r:id="rId501" display="http://www.land.gov.il/TozaotMichrazim/resultsDetailed.aspx?id=85245&amp;rc=390&amp;tr=1693"/>
    <hyperlink ref="Q298" r:id="rId502" display="http://www.land.gov.il/TozaotMichrazim/resultsDetailed.aspx?id=85247&amp;rc=392&amp;tr=1693"/>
    <hyperlink ref="Q167" r:id="rId503" display="http://www.land.gov.il/TozaotMichrazim/resultsDetailed.aspx?id=85250&amp;rc=395&amp;tr=1693"/>
    <hyperlink ref="Q271" r:id="rId504" display="http://www.land.gov.il/TozaotMichrazim/resultsDetailed.aspx?id=85251&amp;rc=396&amp;tr=1693"/>
    <hyperlink ref="Q221" r:id="rId505" display="http://www.land.gov.il/TozaotMichrazim/resultsDetailed.aspx?id=85252&amp;rc=397&amp;tr=1693"/>
    <hyperlink ref="Q604" r:id="rId506" display="http://www.land.gov.il/TozaotMichrazim/resultsDetailed.aspx?id=85253&amp;rc=398&amp;tr=1693"/>
    <hyperlink ref="Q169" r:id="rId507" display="http://www.land.gov.il/TozaotMichrazim/resultsDetailed.aspx?id=85256&amp;rc=401&amp;tr=1693"/>
    <hyperlink ref="Q303" r:id="rId508" display="http://www.land.gov.il/TozaotMichrazim/resultsDetailed.aspx?id=85257&amp;rc=402&amp;tr=1693"/>
    <hyperlink ref="Q550" r:id="rId509" display="http://www.land.gov.il/TozaotMichrazim/resultsDetailed.aspx?id=85258&amp;rc=403&amp;tr=1693"/>
    <hyperlink ref="Q319" r:id="rId510" display="http://www.land.gov.il/TozaotMichrazim/resultsDetailed.aspx?id=85259&amp;rc=404&amp;tr=1693"/>
    <hyperlink ref="Q592" r:id="rId511" display="http://www.land.gov.il/TozaotMichrazim/resultsDetailed.aspx?id=85260&amp;rc=405&amp;tr=1693"/>
    <hyperlink ref="Q463" r:id="rId512" display="http://www.land.gov.il/TozaotMichrazim/resultsDetailed.aspx?id=85261&amp;rc=406&amp;tr=1693"/>
    <hyperlink ref="Q646" r:id="rId513" display="http://www.land.gov.il/TozaotMichrazim/resultsDetailed.aspx?id=85262&amp;rc=407&amp;tr=1693"/>
    <hyperlink ref="Q1112" r:id="rId514" display="http://www.land.gov.il/TozaotMichrazim/resultsDetailed.aspx?id=85263&amp;rc=408&amp;tr=1693"/>
    <hyperlink ref="Q544" r:id="rId515" display="http://www.land.gov.il/TozaotMichrazim/resultsDetailed.aspx?id=85264&amp;rc=409&amp;tr=1693"/>
    <hyperlink ref="Q898" r:id="rId516" display="http://www.land.gov.il/TozaotMichrazim/resultsDetailed.aspx?id=85265&amp;rc=410&amp;tr=1693"/>
    <hyperlink ref="Q716" r:id="rId517" display="http://www.land.gov.il/TozaotMichrazim/resultsDetailed.aspx?id=85266&amp;rc=411&amp;tr=1693"/>
    <hyperlink ref="Q645" r:id="rId518" display="http://www.land.gov.il/TozaotMichrazim/resultsDetailed.aspx?id=85267&amp;rc=412&amp;tr=1693"/>
    <hyperlink ref="Q827" r:id="rId519" display="http://www.land.gov.il/TozaotMichrazim/resultsDetailed.aspx?id=85268&amp;rc=413&amp;tr=1693"/>
    <hyperlink ref="Q995" r:id="rId520" display="http://www.land.gov.il/TozaotMichrazim/resultsDetailed.aspx?id=85269&amp;rc=414&amp;tr=1693"/>
    <hyperlink ref="Q316" r:id="rId521" display="http://www.land.gov.il/TozaotMichrazim/resultsDetailed.aspx?id=85270&amp;rc=415&amp;tr=1693"/>
    <hyperlink ref="Q436" r:id="rId522" display="http://www.land.gov.il/TozaotMichrazim/resultsDetailed.aspx?id=85271&amp;rc=416&amp;tr=1693"/>
    <hyperlink ref="Q325" r:id="rId523" display="http://www.land.gov.il/TozaotMichrazim/resultsDetailed.aspx?id=85275&amp;rc=420&amp;tr=1693"/>
    <hyperlink ref="Q213" r:id="rId524" display="http://www.land.gov.il/TozaotMichrazim/resultsDetailed.aspx?id=85276&amp;rc=421&amp;tr=1693"/>
    <hyperlink ref="Q311" r:id="rId525" display="http://www.land.gov.il/TozaotMichrazim/resultsDetailed.aspx?id=85277&amp;rc=422&amp;tr=1693"/>
    <hyperlink ref="Q819" r:id="rId526" display="http://www.land.gov.il/TozaotMichrazim/resultsDetailed.aspx?id=85278&amp;rc=423&amp;tr=1693"/>
    <hyperlink ref="Q848" r:id="rId527" display="http://www.land.gov.il/TozaotMichrazim/resultsDetailed.aspx?id=85279&amp;rc=424&amp;tr=1693"/>
    <hyperlink ref="Q711" r:id="rId528" display="http://www.land.gov.il/TozaotMichrazim/resultsDetailed.aspx?id=85280&amp;rc=425&amp;tr=1693"/>
    <hyperlink ref="Q793" r:id="rId529" display="http://www.land.gov.il/TozaotMichrazim/resultsDetailed.aspx?id=85281&amp;rc=426&amp;tr=1693"/>
    <hyperlink ref="Q949" r:id="rId530" display="http://www.land.gov.il/TozaotMichrazim/resultsDetailed.aspx?id=85282&amp;rc=427&amp;tr=1693"/>
    <hyperlink ref="Q940" r:id="rId531" display="http://www.land.gov.il/TozaotMichrazim/resultsDetailed.aspx?id=85283&amp;rc=428&amp;tr=1693"/>
    <hyperlink ref="Q312" r:id="rId532" display="http://www.land.gov.il/TozaotMichrazim/resultsDetailed.aspx?id=85284&amp;rc=429&amp;tr=1693"/>
    <hyperlink ref="Q243" r:id="rId533" display="http://www.land.gov.il/TozaotMichrazim/resultsDetailed.aspx?id=85285&amp;rc=430&amp;tr=1693"/>
    <hyperlink ref="Q222" r:id="rId534" display="http://www.land.gov.il/TozaotMichrazim/resultsDetailed.aspx?id=85286&amp;rc=431&amp;tr=1693"/>
    <hyperlink ref="Q248" r:id="rId535" display="http://www.land.gov.il/TozaotMichrazim/resultsDetailed.aspx?id=85287&amp;rc=432&amp;tr=1693"/>
    <hyperlink ref="Q176" r:id="rId536" display="http://www.land.gov.il/TozaotMichrazim/resultsDetailed.aspx?id=85288&amp;rc=433&amp;tr=1693"/>
    <hyperlink ref="Q223" r:id="rId537" display="http://www.land.gov.il/TozaotMichrazim/resultsDetailed.aspx?id=85289&amp;rc=434&amp;tr=1693"/>
    <hyperlink ref="Q212" r:id="rId538" display="http://www.land.gov.il/TozaotMichrazim/resultsDetailed.aspx?id=85290&amp;rc=435&amp;tr=1693"/>
    <hyperlink ref="Q227" r:id="rId539" display="http://www.land.gov.il/TozaotMichrazim/resultsDetailed.aspx?id=85291&amp;rc=436&amp;tr=1693"/>
    <hyperlink ref="Q184" r:id="rId540" display="http://www.land.gov.il/TozaotMichrazim/resultsDetailed.aspx?id=85294&amp;rc=439&amp;tr=1693"/>
    <hyperlink ref="Q274" r:id="rId541" display="http://www.land.gov.il/TozaotMichrazim/resultsDetailed.aspx?id=85295&amp;rc=440&amp;tr=1693"/>
    <hyperlink ref="Q853" r:id="rId542" display="http://www.land.gov.il/TozaotMichrazim/resultsDetailed.aspx?id=85296&amp;rc=441&amp;tr=1693"/>
    <hyperlink ref="Q211" r:id="rId543" display="http://www.land.gov.il/TozaotMichrazim/resultsDetailed.aspx?id=85297&amp;rc=442&amp;tr=1693"/>
    <hyperlink ref="Q817" r:id="rId544" display="http://www.land.gov.il/TozaotMichrazim/resultsDetailed.aspx?id=85299&amp;rc=444&amp;tr=1693"/>
    <hyperlink ref="Q1023" r:id="rId545" display="http://www.land.gov.il/TozaotMichrazim/resultsDetailed.aspx?id=85300&amp;rc=445&amp;tr=1693"/>
    <hyperlink ref="Q809" r:id="rId546" display="http://www.land.gov.il/TozaotMichrazim/resultsDetailed.aspx?id=85301&amp;rc=446&amp;tr=1693"/>
    <hyperlink ref="Q727" r:id="rId547" display="http://www.land.gov.il/TozaotMichrazim/resultsDetailed.aspx?id=85302&amp;rc=447&amp;tr=1693"/>
    <hyperlink ref="Q524" r:id="rId548" display="http://www.land.gov.il/TozaotMichrazim/resultsDetailed.aspx?id=85303&amp;rc=448&amp;tr=1693"/>
    <hyperlink ref="Q814" r:id="rId549" display="http://www.land.gov.il/TozaotMichrazim/resultsDetailed.aspx?id=85304&amp;rc=449&amp;tr=1693"/>
    <hyperlink ref="Q847" r:id="rId550" display="http://www.land.gov.il/TozaotMichrazim/resultsDetailed.aspx?id=85305&amp;rc=450&amp;tr=1693"/>
    <hyperlink ref="Q998" r:id="rId551" display="http://www.land.gov.il/TozaotMichrazim/resultsDetailed.aspx?id=85306&amp;rc=451&amp;tr=1693"/>
    <hyperlink ref="Q269" r:id="rId552" display="http://www.land.gov.il/TozaotMichrazim/resultsDetailed.aspx?id=85307&amp;rc=452&amp;tr=1693"/>
    <hyperlink ref="Q742" r:id="rId553" display="http://www.land.gov.il/TozaotMichrazim/resultsDetailed.aspx?id=85308&amp;rc=453&amp;tr=1693"/>
    <hyperlink ref="Q772" r:id="rId554" display="http://www.land.gov.il/TozaotMichrazim/resultsDetailed.aspx?id=85309&amp;rc=454&amp;tr=1693"/>
    <hyperlink ref="Q1098" r:id="rId555" display="http://www.land.gov.il/TozaotMichrazim/resultsDetailed.aspx?id=85310&amp;rc=455&amp;tr=1693"/>
    <hyperlink ref="Q563" r:id="rId556" display="http://www.land.gov.il/TozaotMichrazim/resultsDetailed.aspx?id=85311&amp;rc=456&amp;tr=1693"/>
    <hyperlink ref="Q409" r:id="rId557" display="http://www.land.gov.il/TozaotMichrazim/resultsDetailed.aspx?id=85312&amp;rc=457&amp;tr=1693"/>
    <hyperlink ref="Q710" r:id="rId558" display="http://www.land.gov.il/TozaotMichrazim/resultsDetailed.aspx?id=85315&amp;rc=460&amp;tr=1693"/>
    <hyperlink ref="Q179" r:id="rId559" display="http://www.land.gov.il/TozaotMichrazim/resultsDetailed.aspx?id=85316&amp;rc=461&amp;tr=1693"/>
    <hyperlink ref="Q219" r:id="rId560" display="http://www.land.gov.il/TozaotMichrazim/resultsDetailed.aspx?id=85317&amp;rc=462&amp;tr=1693"/>
    <hyperlink ref="Q729" r:id="rId561" display="http://www.land.gov.il/TozaotMichrazim/resultsDetailed.aspx?id=85318&amp;rc=463&amp;tr=1693"/>
    <hyperlink ref="Q173" r:id="rId562" display="http://www.land.gov.il/TozaotMichrazim/resultsDetailed.aspx?id=85319&amp;rc=464&amp;tr=1693"/>
    <hyperlink ref="Q993" r:id="rId563" display="http://www.land.gov.il/TozaotMichrazim/resultsDetailed.aspx?id=85320&amp;rc=465&amp;tr=1693"/>
    <hyperlink ref="Q961" r:id="rId564" display="http://www.land.gov.il/TozaotMichrazim/resultsDetailed.aspx?id=85321&amp;rc=466&amp;tr=1693"/>
    <hyperlink ref="Q499" r:id="rId565" display="http://www.land.gov.il/TozaotMichrazim/resultsDetailed.aspx?id=85322&amp;rc=467&amp;tr=1693"/>
    <hyperlink ref="Q1039" r:id="rId566" display="http://www.land.gov.il/TozaotMichrazim/resultsDetailed.aspx?id=85323&amp;rc=468&amp;tr=1693"/>
    <hyperlink ref="Q410" r:id="rId567" display="http://www.land.gov.il/TozaotMichrazim/resultsDetailed.aspx?id=85324&amp;rc=469&amp;tr=1693"/>
    <hyperlink ref="Q980" r:id="rId568" display="http://www.land.gov.il/TozaotMichrazim/resultsDetailed.aspx?id=85325&amp;rc=470&amp;tr=1693"/>
    <hyperlink ref="Q715" r:id="rId569" display="http://www.land.gov.il/TozaotMichrazim/resultsDetailed.aspx?id=85326&amp;rc=471&amp;tr=1693"/>
    <hyperlink ref="Q392" r:id="rId570" display="http://www.land.gov.il/TozaotMichrazim/resultsDetailed.aspx?id=85327&amp;rc=472&amp;tr=1693"/>
    <hyperlink ref="Q1147" r:id="rId571" display="http://www.land.gov.il/TozaotMichrazim/resultsDetailed.aspx?id=85328&amp;rc=473&amp;tr=1693"/>
    <hyperlink ref="Q603" r:id="rId572" display="http://www.land.gov.il/TozaotMichrazim/resultsDetailed.aspx?id=85329&amp;rc=474&amp;tr=1693"/>
    <hyperlink ref="Q666" r:id="rId573" display="http://www.land.gov.il/TozaotMichrazim/resultsDetailed.aspx?id=85330&amp;rc=475&amp;tr=1693"/>
    <hyperlink ref="Q602" r:id="rId574" display="http://www.land.gov.il/TozaotMichrazim/resultsDetailed.aspx?id=85331&amp;rc=476&amp;tr=1693"/>
    <hyperlink ref="Q618" r:id="rId575" display="http://www.land.gov.il/TozaotMichrazim/resultsDetailed.aspx?id=85333&amp;rc=478&amp;tr=1693"/>
    <hyperlink ref="Q254" r:id="rId576" display="http://www.land.gov.il/TozaotMichrazim/resultsDetailed.aspx?id=85334&amp;rc=479&amp;tr=1693"/>
    <hyperlink ref="Q997" r:id="rId577" display="http://www.land.gov.il/TozaotMichrazim/resultsDetailed.aspx?id=85335&amp;rc=480&amp;tr=1693"/>
    <hyperlink ref="Q725" r:id="rId578" display="http://www.land.gov.il/TozaotMichrazim/resultsDetailed.aspx?id=85336&amp;rc=481&amp;tr=1693"/>
    <hyperlink ref="Q1237" r:id="rId579" display="http://www.land.gov.il/TozaotMichrazim/resultsDetailed.aspx?id=85337&amp;rc=482&amp;tr=1693"/>
    <hyperlink ref="Q511" r:id="rId580" display="http://www.land.gov.il/TozaotMichrazim/resultsDetailed.aspx?id=85339&amp;rc=484&amp;tr=1693"/>
    <hyperlink ref="Q473" r:id="rId581" display="http://www.land.gov.il/TozaotMichrazim/resultsDetailed.aspx?id=85340&amp;rc=485&amp;tr=1693"/>
    <hyperlink ref="Q916" r:id="rId582" display="http://www.land.gov.il/TozaotMichrazim/resultsDetailed.aspx?id=85341&amp;rc=486&amp;tr=1693"/>
    <hyperlink ref="Q507" r:id="rId583" display="http://www.land.gov.il/TozaotMichrazim/resultsDetailed.aspx?id=85342&amp;rc=487&amp;tr=1693"/>
    <hyperlink ref="Q266" r:id="rId584" display="http://www.land.gov.il/TozaotMichrazim/resultsDetailed.aspx?id=85343&amp;rc=488&amp;tr=1693"/>
    <hyperlink ref="Q214" r:id="rId585" display="http://www.land.gov.il/TozaotMichrazim/resultsDetailed.aspx?id=85344&amp;rc=489&amp;tr=1693"/>
    <hyperlink ref="Q595" r:id="rId586" display="http://www.land.gov.il/TozaotMichrazim/resultsDetailed.aspx?id=85345&amp;rc=490&amp;tr=1693"/>
    <hyperlink ref="Q390" r:id="rId587" display="http://www.land.gov.il/TozaotMichrazim/resultsDetailed.aspx?id=85346&amp;rc=491&amp;tr=1693"/>
    <hyperlink ref="Q688" r:id="rId588" display="http://www.land.gov.il/TozaotMichrazim/resultsDetailed.aspx?id=85347&amp;rc=492&amp;tr=1693"/>
    <hyperlink ref="Q191" r:id="rId589" display="http://www.land.gov.il/TozaotMichrazim/resultsDetailed.aspx?id=85348&amp;rc=493&amp;tr=1693"/>
    <hyperlink ref="Q204" r:id="rId590" display="http://www.land.gov.il/TozaotMichrazim/resultsDetailed.aspx?id=85349&amp;rc=494&amp;tr=1693"/>
    <hyperlink ref="Q908" r:id="rId591" display="http://www.land.gov.il/TozaotMichrazim/resultsDetailed.aspx?id=85351&amp;rc=496&amp;tr=1693"/>
    <hyperlink ref="Q252" r:id="rId592" display="http://www.land.gov.il/TozaotMichrazim/resultsDetailed.aspx?id=85355&amp;rc=500&amp;tr=1693"/>
    <hyperlink ref="Q208" r:id="rId593" display="http://www.land.gov.il/TozaotMichrazim/resultsDetailed.aspx?id=85358&amp;rc=503&amp;tr=1693"/>
    <hyperlink ref="Q193" r:id="rId594" display="http://www.land.gov.il/TozaotMichrazim/resultsDetailed.aspx?id=85363&amp;rc=508&amp;tr=1693"/>
    <hyperlink ref="Q429" r:id="rId595" display="http://www.land.gov.il/TozaotMichrazim/resultsDetailed.aspx?id=85364&amp;rc=509&amp;tr=1693"/>
    <hyperlink ref="Q465" r:id="rId596" display="http://www.land.gov.il/TozaotMichrazim/resultsDetailed.aspx?id=85365&amp;rc=510&amp;tr=1693"/>
    <hyperlink ref="Q328" r:id="rId597" display="http://www.land.gov.il/TozaotMichrazim/resultsDetailed.aspx?id=85366&amp;rc=511&amp;tr=1693"/>
    <hyperlink ref="Q163" r:id="rId598" display="http://www.land.gov.il/TozaotMichrazim/resultsDetailed.aspx?id=85368&amp;rc=513&amp;tr=1693"/>
    <hyperlink ref="Q262" r:id="rId599" display="http://www.land.gov.il/TozaotMichrazim/resultsDetailed.aspx?id=85369&amp;rc=514&amp;tr=1693"/>
    <hyperlink ref="Q290" r:id="rId600" display="http://www.land.gov.il/TozaotMichrazim/resultsDetailed.aspx?id=85370&amp;rc=515&amp;tr=1693"/>
    <hyperlink ref="Q291" r:id="rId601" display="http://www.land.gov.il/TozaotMichrazim/resultsDetailed.aspx?id=85371&amp;rc=516&amp;tr=1693"/>
    <hyperlink ref="Q660" r:id="rId602" display="http://www.land.gov.il/TozaotMichrazim/resultsDetailed.aspx?id=85374&amp;rc=519&amp;tr=1693"/>
    <hyperlink ref="Q210" r:id="rId603" display="http://www.land.gov.il/TozaotMichrazim/resultsDetailed.aspx?id=85375&amp;rc=520&amp;tr=1693"/>
    <hyperlink ref="Q741" r:id="rId604" display="http://www.land.gov.il/TozaotMichrazim/resultsDetailed.aspx?id=85376&amp;rc=521&amp;tr=1693"/>
    <hyperlink ref="Q310" r:id="rId605" display="http://www.land.gov.il/TozaotMichrazim/resultsDetailed.aspx?id=85377&amp;rc=522&amp;tr=1693"/>
    <hyperlink ref="Q194" r:id="rId606" display="http://www.land.gov.il/TozaotMichrazim/resultsDetailed.aspx?id=85378&amp;rc=523&amp;tr=1693"/>
    <hyperlink ref="Q738" r:id="rId607" display="http://www.land.gov.il/TozaotMichrazim/resultsDetailed.aspx?id=85379&amp;rc=524&amp;tr=1693"/>
    <hyperlink ref="Q460" r:id="rId608" display="http://www.land.gov.il/TozaotMichrazim/resultsDetailed.aspx?id=85380&amp;rc=525&amp;tr=1693"/>
    <hyperlink ref="Q182" r:id="rId609" display="http://www.land.gov.il/TozaotMichrazim/resultsDetailed.aspx?id=85383&amp;rc=528&amp;tr=1693"/>
    <hyperlink ref="Q514" r:id="rId610" display="http://www.land.gov.il/TozaotMichrazim/resultsDetailed.aspx?id=85384&amp;rc=529&amp;tr=1693"/>
    <hyperlink ref="Q554" r:id="rId611" display="http://www.land.gov.il/TozaotMichrazim/resultsDetailed.aspx?id=85385&amp;rc=530&amp;tr=1693"/>
    <hyperlink ref="Q1064" r:id="rId612" display="http://www.land.gov.il/TozaotMichrazim/resultsDetailed.aspx?id=85386&amp;rc=531&amp;tr=1693"/>
    <hyperlink ref="Q177" r:id="rId613" display="http://www.land.gov.il/TozaotMichrazim/resultsDetailed.aspx?id=85388&amp;rc=533&amp;tr=1693"/>
    <hyperlink ref="Q383" r:id="rId614" display="http://www.land.gov.il/TozaotMichrazim/resultsDetailed.aspx?id=85389&amp;rc=534&amp;tr=1693"/>
    <hyperlink ref="Q1219" r:id="rId615" display="http://www.land.gov.il/TozaotMichrazim/resultsDetailed.aspx?id=85390&amp;rc=535&amp;tr=1693"/>
    <hyperlink ref="Q921" r:id="rId616" display="http://www.land.gov.il/TozaotMichrazim/resultsDetailed.aspx?id=85391&amp;rc=536&amp;tr=1693"/>
    <hyperlink ref="Q1029" r:id="rId617" display="http://www.land.gov.il/TozaotMichrazim/resultsDetailed.aspx?id=85392&amp;rc=537&amp;tr=1693"/>
    <hyperlink ref="Q799" r:id="rId618" display="http://www.land.gov.il/TozaotMichrazim/resultsDetailed.aspx?id=85393&amp;rc=538&amp;tr=1693"/>
    <hyperlink ref="Q336" r:id="rId619" display="http://www.land.gov.il/TozaotMichrazim/resultsDetailed.aspx?id=85394&amp;rc=539&amp;tr=1693"/>
    <hyperlink ref="Q616" r:id="rId620" display="http://www.land.gov.il/TozaotMichrazim/resultsDetailed.aspx?id=85395&amp;rc=540&amp;tr=1693"/>
    <hyperlink ref="Q197" r:id="rId621" display="http://www.land.gov.il/TozaotMichrazim/resultsDetailed.aspx?id=85396&amp;rc=541&amp;tr=1693"/>
    <hyperlink ref="Q695" r:id="rId622" display="http://www.land.gov.il/TozaotMichrazim/resultsDetailed.aspx?id=85397&amp;rc=542&amp;tr=1693"/>
    <hyperlink ref="Q535" r:id="rId623" display="http://www.land.gov.il/TozaotMichrazim/resultsDetailed.aspx?id=85398&amp;rc=543&amp;tr=1693"/>
    <hyperlink ref="Q1011" r:id="rId624" display="http://www.land.gov.il/TozaotMichrazim/resultsDetailed.aspx?id=85399&amp;rc=544&amp;tr=1693"/>
    <hyperlink ref="Q538" r:id="rId625" display="http://www.land.gov.il/TozaotMichrazim/resultsDetailed.aspx?id=85400&amp;rc=545&amp;tr=1693"/>
    <hyperlink ref="Q203" r:id="rId626" display="http://www.land.gov.il/TozaotMichrazim/resultsDetailed.aspx?id=85402&amp;rc=547&amp;tr=1693"/>
    <hyperlink ref="Q264" r:id="rId627" display="http://www.land.gov.il/TozaotMichrazim/resultsDetailed.aspx?id=85404&amp;rc=549&amp;tr=1693"/>
    <hyperlink ref="Q705" r:id="rId628" display="http://www.land.gov.il/TozaotMichrazim/resultsDetailed.aspx?id=85406&amp;rc=551&amp;tr=1693"/>
    <hyperlink ref="Q278" r:id="rId629" display="http://www.land.gov.il/TozaotMichrazim/resultsDetailed.aspx?id=85407&amp;rc=552&amp;tr=1693"/>
    <hyperlink ref="Q880" r:id="rId630" display="http://www.land.gov.il/TozaotMichrazim/resultsDetailed.aspx?id=85408&amp;rc=553&amp;tr=1693"/>
    <hyperlink ref="Q559" r:id="rId631" display="http://www.land.gov.il/TozaotMichrazim/resultsDetailed.aspx?id=85409&amp;rc=554&amp;tr=1693"/>
    <hyperlink ref="Q999" r:id="rId632" display="http://www.land.gov.il/TozaotMichrazim/resultsDetailed.aspx?id=85411&amp;rc=556&amp;tr=1693"/>
    <hyperlink ref="Q955" r:id="rId633" display="http://www.land.gov.il/TozaotMichrazim/resultsDetailed.aspx?id=85412&amp;rc=557&amp;tr=1693"/>
    <hyperlink ref="Q1005" r:id="rId634" display="http://www.land.gov.il/TozaotMichrazim/resultsDetailed.aspx?id=85413&amp;rc=558&amp;tr=1693"/>
    <hyperlink ref="Q363" r:id="rId635" display="http://www.land.gov.il/TozaotMichrazim/resultsDetailed.aspx?id=85414&amp;rc=559&amp;tr=1693"/>
    <hyperlink ref="Q382" r:id="rId636" display="http://www.land.gov.il/TozaotMichrazim/resultsDetailed.aspx?id=85415&amp;rc=560&amp;tr=1693"/>
    <hyperlink ref="Q424" r:id="rId637" display="http://www.land.gov.il/TozaotMichrazim/resultsDetailed.aspx?id=85416&amp;rc=561&amp;tr=1693"/>
    <hyperlink ref="Q512" r:id="rId638" display="http://www.land.gov.il/TozaotMichrazim/resultsDetailed.aspx?id=85417&amp;rc=562&amp;tr=1693"/>
    <hyperlink ref="Q170" r:id="rId639" display="http://www.land.gov.il/TozaotMichrazim/resultsDetailed.aspx?id=85418&amp;rc=563&amp;tr=1693"/>
    <hyperlink ref="Q337" r:id="rId640" display="http://www.land.gov.il/TozaotMichrazim/resultsDetailed.aspx?id=85419&amp;rc=564&amp;tr=1693"/>
    <hyperlink ref="Q201" r:id="rId641" display="http://www.land.gov.il/TozaotMichrazim/resultsDetailed.aspx?id=85420&amp;rc=565&amp;tr=1693"/>
    <hyperlink ref="Q190" r:id="rId642" display="http://www.land.gov.il/TozaotMichrazim/resultsDetailed.aspx?id=85421&amp;rc=566&amp;tr=1693"/>
    <hyperlink ref="Q172" r:id="rId643" display="http://www.land.gov.il/TozaotMichrazim/resultsDetailed.aspx?id=85424&amp;rc=569&amp;tr=1693"/>
    <hyperlink ref="Q488" r:id="rId644" display="http://www.land.gov.il/TozaotMichrazim/resultsDetailed.aspx?id=85426&amp;rc=571&amp;tr=1693"/>
    <hyperlink ref="Q489" r:id="rId645" display="http://www.land.gov.il/TozaotMichrazim/resultsDetailed.aspx?id=85427&amp;rc=572&amp;tr=1693"/>
    <hyperlink ref="Q483" r:id="rId646" display="http://www.land.gov.il/TozaotMichrazim/resultsDetailed.aspx?id=85428&amp;rc=573&amp;tr=1693"/>
    <hyperlink ref="Q762" r:id="rId647" display="http://www.land.gov.il/TozaotMichrazim/resultsDetailed.aspx?id=85429&amp;rc=574&amp;tr=1693"/>
    <hyperlink ref="Q277" r:id="rId648" display="http://www.land.gov.il/TozaotMichrazim/resultsDetailed.aspx?id=85430&amp;rc=575&amp;tr=1693"/>
    <hyperlink ref="Q367" r:id="rId649" display="http://www.land.gov.il/TozaotMichrazim/resultsDetailed.aspx?id=85431&amp;rc=576&amp;tr=1693"/>
    <hyperlink ref="Q313" r:id="rId650" display="http://www.land.gov.il/TozaotMichrazim/resultsDetailed.aspx?id=85432&amp;rc=577&amp;tr=1693"/>
    <hyperlink ref="Q648" r:id="rId651" display="http://www.land.gov.il/TozaotMichrazim/resultsDetailed.aspx?id=85433&amp;rc=578&amp;tr=1693"/>
    <hyperlink ref="Q714" r:id="rId652" display="http://www.land.gov.il/TozaotMichrazim/resultsDetailed.aspx?id=85434&amp;rc=579&amp;tr=1693"/>
    <hyperlink ref="Q931" r:id="rId653" display="http://www.land.gov.il/TozaotMichrazim/resultsDetailed.aspx?id=85435&amp;rc=580&amp;tr=1693"/>
    <hyperlink ref="Q485" r:id="rId654" display="http://www.land.gov.il/TozaotMichrazim/resultsDetailed.aspx?id=85437&amp;rc=582&amp;tr=1693"/>
    <hyperlink ref="Q574" r:id="rId655" display="http://www.land.gov.il/TozaotMichrazim/resultsDetailed.aspx?id=85438&amp;rc=583&amp;tr=1693"/>
    <hyperlink ref="Q286" r:id="rId656" display="http://www.land.gov.il/TozaotMichrazim/resultsDetailed.aspx?id=85439&amp;rc=584&amp;tr=1693"/>
    <hyperlink ref="Q457" r:id="rId657" display="http://www.land.gov.il/TozaotMichrazim/resultsDetailed.aspx?id=85440&amp;rc=585&amp;tr=1693"/>
    <hyperlink ref="Q196" r:id="rId658" display="http://www.land.gov.il/TozaotMichrazim/resultsDetailed.aspx?id=85441&amp;rc=586&amp;tr=1693"/>
    <hyperlink ref="Q598" r:id="rId659" display="http://www.land.gov.il/TozaotMichrazim/resultsDetailed.aspx?id=85442&amp;rc=587&amp;tr=1693"/>
    <hyperlink ref="Q780" r:id="rId660" display="http://www.land.gov.il/TozaotMichrazim/resultsDetailed.aspx?id=85443&amp;rc=588&amp;tr=1693"/>
    <hyperlink ref="Q1007" r:id="rId661" display="http://www.land.gov.il/TozaotMichrazim/resultsDetailed.aspx?id=85445&amp;rc=590&amp;tr=1693"/>
    <hyperlink ref="Q379" r:id="rId662" display="http://www.land.gov.il/TozaotMichrazim/resultsDetailed.aspx?id=85446&amp;rc=591&amp;tr=1693"/>
    <hyperlink ref="Q784" r:id="rId663" display="http://www.land.gov.il/TozaotMichrazim/resultsDetailed.aspx?id=85447&amp;rc=592&amp;tr=1693"/>
    <hyperlink ref="Q785" r:id="rId664" display="http://www.land.gov.il/TozaotMichrazim/resultsDetailed.aspx?id=85448&amp;rc=593&amp;tr=1693"/>
    <hyperlink ref="Q434" r:id="rId665" display="http://www.land.gov.il/TozaotMichrazim/resultsDetailed.aspx?id=85449&amp;rc=594&amp;tr=1693"/>
    <hyperlink ref="Q374" r:id="rId666" display="http://www.land.gov.il/TozaotMichrazim/resultsDetailed.aspx?id=85452&amp;rc=597&amp;tr=1693"/>
    <hyperlink ref="Q497" r:id="rId667" display="http://www.land.gov.il/TozaotMichrazim/resultsDetailed.aspx?id=85453&amp;rc=598&amp;tr=1693"/>
    <hyperlink ref="Q288" r:id="rId668" display="http://www.land.gov.il/TozaotMichrazim/resultsDetailed.aspx?id=85454&amp;rc=599&amp;tr=1693"/>
    <hyperlink ref="Q1174" r:id="rId669" display="http://www.land.gov.il/TozaotMichrazim/resultsDetailed.aspx?id=85455&amp;rc=600&amp;tr=1693"/>
    <hyperlink ref="Q664" r:id="rId670" display="http://www.land.gov.il/TozaotMichrazim/resultsDetailed.aspx?id=85456&amp;rc=601&amp;tr=1693"/>
    <hyperlink ref="Q510" r:id="rId671" display="http://www.land.gov.il/TozaotMichrazim/resultsDetailed.aspx?id=85457&amp;rc=602&amp;tr=1693"/>
    <hyperlink ref="Q605" r:id="rId672" display="http://www.land.gov.il/TozaotMichrazim/resultsDetailed.aspx?id=85458&amp;rc=603&amp;tr=1693"/>
    <hyperlink ref="Q413" r:id="rId673" display="http://www.land.gov.il/TozaotMichrazim/resultsDetailed.aspx?id=85459&amp;rc=604&amp;tr=1693"/>
    <hyperlink ref="Q893" r:id="rId674" display="http://www.land.gov.il/TozaotMichrazim/resultsDetailed.aspx?id=85460&amp;rc=605&amp;tr=1693"/>
    <hyperlink ref="Q874" r:id="rId675" display="http://www.land.gov.il/TozaotMichrazim/resultsDetailed.aspx?id=85461&amp;rc=606&amp;tr=1693"/>
    <hyperlink ref="Q749" r:id="rId676" display="http://www.land.gov.il/TozaotMichrazim/resultsDetailed.aspx?id=85462&amp;rc=607&amp;tr=1693"/>
    <hyperlink ref="Q787" r:id="rId677" display="http://www.land.gov.il/TozaotMichrazim/resultsDetailed.aspx?id=85463&amp;rc=608&amp;tr=1693"/>
    <hyperlink ref="Q953" r:id="rId678" display="http://www.land.gov.il/TozaotMichrazim/resultsDetailed.aspx?id=85464&amp;rc=609&amp;tr=1693"/>
    <hyperlink ref="Q775" r:id="rId679" display="http://www.land.gov.il/TozaotMichrazim/resultsDetailed.aspx?id=85465&amp;rc=610&amp;tr=1693"/>
    <hyperlink ref="Q273" r:id="rId680" display="http://www.land.gov.il/TozaotMichrazim/resultsDetailed.aspx?id=85466&amp;rc=611&amp;tr=1693"/>
    <hyperlink ref="Q930" r:id="rId681" display="http://www.land.gov.il/TozaotMichrazim/resultsDetailed.aspx?id=85467&amp;rc=612&amp;tr=1693"/>
    <hyperlink ref="Q1070" r:id="rId682" display="http://www.land.gov.il/TozaotMichrazim/resultsDetailed.aspx?id=85468&amp;rc=613&amp;tr=1693"/>
    <hyperlink ref="Q296" r:id="rId683" display="http://www.land.gov.il/TozaotMichrazim/resultsDetailed.aspx?id=85469&amp;rc=614&amp;tr=1693"/>
    <hyperlink ref="Q314" r:id="rId684" display="http://www.land.gov.il/TozaotMichrazim/resultsDetailed.aspx?id=85470&amp;rc=615&amp;tr=1693"/>
    <hyperlink ref="Q1080" r:id="rId685" display="http://www.land.gov.il/TozaotMichrazim/resultsDetailed.aspx?id=85471&amp;rc=616&amp;tr=1693"/>
    <hyperlink ref="Q486" r:id="rId686" display="http://www.land.gov.il/TozaotMichrazim/resultsDetailed.aspx?id=85472&amp;rc=617&amp;tr=1693"/>
    <hyperlink ref="Q1160" r:id="rId687" display="http://www.land.gov.il/TozaotMichrazim/resultsDetailed.aspx?id=85473&amp;rc=618&amp;tr=1693"/>
    <hyperlink ref="Q467" r:id="rId688" display="http://www.land.gov.il/TozaotMichrazim/resultsDetailed.aspx?id=85474&amp;rc=619&amp;tr=1693"/>
    <hyperlink ref="Q1059" r:id="rId689" display="http://www.land.gov.il/TozaotMichrazim/resultsDetailed.aspx?id=85475&amp;rc=620&amp;tr=1693"/>
    <hyperlink ref="Q1074" r:id="rId690" display="http://www.land.gov.il/TozaotMichrazim/resultsDetailed.aspx?id=85477&amp;rc=622&amp;tr=1693"/>
    <hyperlink ref="Q521" r:id="rId691" display="http://www.land.gov.il/TozaotMichrazim/resultsDetailed.aspx?id=85478&amp;rc=623&amp;tr=1693"/>
    <hyperlink ref="Q371" r:id="rId692" display="http://www.land.gov.il/TozaotMichrazim/resultsDetailed.aspx?id=85479&amp;rc=624&amp;tr=1693"/>
    <hyperlink ref="Q626" r:id="rId693" display="http://www.land.gov.il/TozaotMichrazim/resultsDetailed.aspx?id=85480&amp;rc=625&amp;tr=1693"/>
    <hyperlink ref="Q435" r:id="rId694" display="http://www.land.gov.il/TozaotMichrazim/resultsDetailed.aspx?id=85481&amp;rc=626&amp;tr=1693"/>
    <hyperlink ref="Q237" r:id="rId695" display="http://www.land.gov.il/TozaotMichrazim/resultsDetailed.aspx?id=85482&amp;rc=627&amp;tr=1693"/>
    <hyperlink ref="Q970" r:id="rId696" display="http://www.land.gov.il/TozaotMichrazim/resultsDetailed.aspx?id=85483&amp;rc=628&amp;tr=1693"/>
    <hyperlink ref="Q553" r:id="rId697" display="http://www.land.gov.il/TozaotMichrazim/resultsDetailed.aspx?id=85484&amp;rc=629&amp;tr=1693"/>
    <hyperlink ref="Q308" r:id="rId698" display="http://www.land.gov.il/TozaotMichrazim/resultsDetailed.aspx?id=85487&amp;rc=632&amp;tr=1693"/>
    <hyperlink ref="Q192" r:id="rId699" display="http://www.land.gov.il/TozaotMichrazim/resultsDetailed.aspx?id=85488&amp;rc=633&amp;tr=1693"/>
    <hyperlink ref="Q180" r:id="rId700" display="http://www.land.gov.il/TozaotMichrazim/resultsDetailed.aspx?id=85489&amp;rc=634&amp;tr=1693"/>
    <hyperlink ref="Q1048" r:id="rId701" display="http://www.land.gov.il/TozaotMichrazim/resultsDetailed.aspx?id=85490&amp;rc=635&amp;tr=1693"/>
    <hyperlink ref="Q1045" r:id="rId702" display="http://www.land.gov.il/TozaotMichrazim/resultsDetailed.aspx?id=85491&amp;rc=636&amp;tr=1693"/>
    <hyperlink ref="Q1053" r:id="rId703" display="http://www.land.gov.il/TozaotMichrazim/resultsDetailed.aspx?id=85492&amp;rc=637&amp;tr=1693"/>
    <hyperlink ref="Q1038" r:id="rId704" display="http://www.land.gov.il/TozaotMichrazim/resultsDetailed.aspx?id=85493&amp;rc=638&amp;tr=1693"/>
    <hyperlink ref="Q1047" r:id="rId705" display="http://www.land.gov.il/TozaotMichrazim/resultsDetailed.aspx?id=85494&amp;rc=639&amp;tr=1693"/>
    <hyperlink ref="Q1043" r:id="rId706" display="http://www.land.gov.il/TozaotMichrazim/resultsDetailed.aspx?id=85495&amp;rc=640&amp;tr=1693"/>
    <hyperlink ref="Q1062" r:id="rId707" display="http://www.land.gov.il/TozaotMichrazim/resultsDetailed.aspx?id=85496&amp;rc=641&amp;tr=1693"/>
    <hyperlink ref="Q539" r:id="rId708" display="http://www.land.gov.il/TozaotMichrazim/resultsDetailed.aspx?id=85497&amp;rc=642&amp;tr=1693"/>
    <hyperlink ref="Q253" r:id="rId709" display="http://www.land.gov.il/TozaotMichrazim/resultsDetailed.aspx?id=85499&amp;rc=644&amp;tr=1693"/>
    <hyperlink ref="Q234" r:id="rId710" display="http://www.land.gov.il/TozaotMichrazim/resultsDetailed.aspx?id=85500&amp;rc=645&amp;tr=1693"/>
    <hyperlink ref="Q188" r:id="rId711" display="http://www.land.gov.il/TozaotMichrazim/resultsDetailed.aspx?id=85503&amp;rc=648&amp;tr=1693"/>
    <hyperlink ref="Q351" r:id="rId712" display="http://www.land.gov.il/TozaotMichrazim/resultsDetailed.aspx?id=85504&amp;rc=649&amp;tr=1693"/>
    <hyperlink ref="Q962" r:id="rId713" display="http://www.land.gov.il/TozaotMichrazim/resultsDetailed.aspx?id=85505&amp;rc=650&amp;tr=1693"/>
    <hyperlink ref="Q479" r:id="rId714" display="http://www.land.gov.il/TozaotMichrazim/resultsDetailed.aspx?id=85506&amp;rc=651&amp;tr=1693"/>
    <hyperlink ref="Q518" r:id="rId715" display="http://www.land.gov.il/TozaotMichrazim/resultsDetailed.aspx?id=85507&amp;rc=652&amp;tr=1693"/>
    <hyperlink ref="Q239" r:id="rId716" display="http://www.land.gov.il/TozaotMichrazim/resultsDetailed.aspx?id=85508&amp;rc=653&amp;tr=1693"/>
    <hyperlink ref="Q1305" r:id="rId717" display="http://www.land.gov.il/TozaotMichrazim/resultsDetailed.aspx?id=85509&amp;rc=654&amp;tr=1693"/>
    <hyperlink ref="Q1308" r:id="rId718" display="http://www.land.gov.il/TozaotMichrazim/resultsDetailed.aspx?id=85510&amp;rc=655&amp;tr=1693"/>
    <hyperlink ref="Q947" r:id="rId719" display="http://www.land.gov.il/TozaotMichrazim/resultsDetailed.aspx?id=85511&amp;rc=656&amp;tr=1693"/>
    <hyperlink ref="Q978" r:id="rId720" display="http://www.land.gov.il/TozaotMichrazim/resultsDetailed.aspx?id=85512&amp;rc=657&amp;tr=1693"/>
    <hyperlink ref="Q251" r:id="rId721" display="http://www.land.gov.il/TozaotMichrazim/resultsDetailed.aspx?id=85513&amp;rc=658&amp;tr=1693"/>
    <hyperlink ref="Q284" r:id="rId722" display="http://www.land.gov.il/TozaotMichrazim/resultsDetailed.aspx?id=85514&amp;rc=659&amp;tr=1693"/>
    <hyperlink ref="Q292" r:id="rId723" display="http://www.land.gov.il/TozaotMichrazim/resultsDetailed.aspx?id=85515&amp;rc=660&amp;tr=1693"/>
    <hyperlink ref="Q200" r:id="rId724" display="http://www.land.gov.il/TozaotMichrazim/resultsDetailed.aspx?id=85516&amp;rc=661&amp;tr=1693"/>
    <hyperlink ref="Q293" r:id="rId725" display="http://www.land.gov.il/TozaotMichrazim/resultsDetailed.aspx?id=85517&amp;rc=662&amp;tr=1693"/>
    <hyperlink ref="Q724" r:id="rId726" display="http://www.land.gov.il/TozaotMichrazim/resultsDetailed.aspx?id=85518&amp;rc=663&amp;tr=1693"/>
    <hyperlink ref="Q662" r:id="rId727" display="http://www.land.gov.il/TozaotMichrazim/resultsDetailed.aspx?id=85520&amp;rc=665&amp;tr=1693"/>
    <hyperlink ref="Q658" r:id="rId728" display="http://www.land.gov.il/TozaotMichrazim/resultsDetailed.aspx?id=85521&amp;rc=666&amp;tr=1693"/>
    <hyperlink ref="Q393" r:id="rId729" display="http://www.land.gov.il/TozaotMichrazim/resultsDetailed.aspx?id=85529&amp;rc=674&amp;tr=1693"/>
    <hyperlink ref="Q884" r:id="rId730" display="http://www.land.gov.il/TozaotMichrazim/resultsDetailed.aspx?id=85530&amp;rc=675&amp;tr=1693"/>
    <hyperlink ref="Q171" r:id="rId731" display="http://www.land.gov.il/TozaotMichrazim/resultsDetailed.aspx?id=85533&amp;rc=678&amp;tr=1693"/>
    <hyperlink ref="Q551" r:id="rId732" display="http://www.land.gov.il/TozaotMichrazim/resultsDetailed.aspx?id=85534&amp;rc=679&amp;tr=1693"/>
    <hyperlink ref="Q186" r:id="rId733" display="http://www.land.gov.il/TozaotMichrazim/resultsDetailed.aspx?id=85536&amp;rc=681&amp;tr=1693"/>
    <hyperlink ref="Q1138" r:id="rId734" display="http://www.land.gov.il/TozaotMichrazim/resultsDetailed.aspx?id=85539&amp;rc=684&amp;tr=1693"/>
    <hyperlink ref="Q1063" r:id="rId735" display="http://www.land.gov.il/TozaotMichrazim/resultsDetailed.aspx?id=85540&amp;rc=685&amp;tr=1693"/>
    <hyperlink ref="Q1071" r:id="rId736" display="http://www.land.gov.il/TozaotMichrazim/resultsDetailed.aspx?id=85541&amp;rc=686&amp;tr=1693"/>
    <hyperlink ref="Q744" r:id="rId737" display="http://www.land.gov.il/TozaotMichrazim/resultsDetailed.aspx?id=85542&amp;rc=687&amp;tr=1693"/>
    <hyperlink ref="Q276" r:id="rId738" display="http://www.land.gov.il/TozaotMichrazim/resultsDetailed.aspx?id=85543&amp;rc=688&amp;tr=1693"/>
    <hyperlink ref="Q300" r:id="rId739" display="http://www.land.gov.il/TozaotMichrazim/resultsDetailed.aspx?id=85544&amp;rc=689&amp;tr=1693"/>
    <hyperlink ref="Q299" r:id="rId740" display="http://www.land.gov.il/TozaotMichrazim/resultsDetailed.aspx?id=85545&amp;rc=690&amp;tr=1693"/>
    <hyperlink ref="Q526" r:id="rId741" display="http://www.land.gov.il/TozaotMichrazim/resultsDetailed.aspx?id=85546&amp;rc=691&amp;tr=1693"/>
    <hyperlink ref="Q202" r:id="rId742" display="http://www.land.gov.il/TozaotMichrazim/resultsDetailed.aspx?id=85549&amp;rc=694&amp;tr=1693"/>
    <hyperlink ref="Q583" r:id="rId743" display="http://www.land.gov.il/TozaotMichrazim/resultsDetailed.aspx?id=85550&amp;rc=695&amp;tr=1693"/>
    <hyperlink ref="Q1320" r:id="rId744" display="http://www.land.gov.il/TozaotMichrazim/resultsDetailed.aspx?id=85551&amp;rc=696&amp;tr=1693"/>
    <hyperlink ref="Q655" r:id="rId745" display="http://www.land.gov.il/TozaotMichrazim/resultsDetailed.aspx?id=85554&amp;rc=699&amp;tr=1693"/>
    <hyperlink ref="Q397" r:id="rId746" display="http://www.land.gov.il/TozaotMichrazim/resultsDetailed.aspx?id=85555&amp;rc=700&amp;tr=1693"/>
    <hyperlink ref="Q484" r:id="rId747" display="http://www.land.gov.il/TozaotMichrazim/resultsDetailed.aspx?id=85556&amp;rc=701&amp;tr=1693"/>
    <hyperlink ref="Q265" r:id="rId748" display="http://www.land.gov.il/TozaotMichrazim/resultsDetailed.aspx?id=85557&amp;rc=702&amp;tr=1693"/>
    <hyperlink ref="Q532" r:id="rId749" display="http://www.land.gov.il/TozaotMichrazim/resultsDetailed.aspx?id=85558&amp;rc=703&amp;tr=1693"/>
    <hyperlink ref="Q649" r:id="rId750" display="http://www.land.gov.il/TozaotMichrazim/resultsDetailed.aspx?id=85559&amp;rc=704&amp;tr=1693"/>
    <hyperlink ref="Q260" r:id="rId751" display="http://www.land.gov.il/TozaotMichrazim/resultsDetailed.aspx?id=85561&amp;rc=706&amp;tr=1693"/>
    <hyperlink ref="Q349" r:id="rId752" display="http://www.land.gov.il/TozaotMichrazim/resultsDetailed.aspx?id=85562&amp;rc=707&amp;tr=1693"/>
    <hyperlink ref="Q493" r:id="rId753" display="http://www.land.gov.il/TozaotMichrazim/resultsDetailed.aspx?id=85563&amp;rc=708&amp;tr=1693"/>
    <hyperlink ref="Q426" r:id="rId754" display="http://www.land.gov.il/TozaotMichrazim/resultsDetailed.aspx?id=85565&amp;rc=710&amp;tr=1693"/>
    <hyperlink ref="Q432" r:id="rId755" display="http://www.land.gov.il/TozaotMichrazim/resultsDetailed.aspx?id=85566&amp;rc=711&amp;tr=1693"/>
    <hyperlink ref="Q966" r:id="rId756" display="http://www.land.gov.il/TozaotMichrazim/resultsDetailed.aspx?id=85567&amp;rc=712&amp;tr=1693"/>
    <hyperlink ref="Q354" r:id="rId757" display="http://www.land.gov.il/TozaotMichrazim/resultsDetailed.aspx?id=85568&amp;rc=713&amp;tr=1693"/>
    <hyperlink ref="Q380" r:id="rId758" display="http://www.land.gov.il/TozaotMichrazim/resultsDetailed.aspx?id=85569&amp;rc=714&amp;tr=1693"/>
    <hyperlink ref="Q1000" r:id="rId759" display="http://www.land.gov.il/TozaotMichrazim/resultsDetailed.aspx?id=85570&amp;rc=715&amp;tr=1693"/>
    <hyperlink ref="Q230" r:id="rId760" display="http://www.land.gov.il/TozaotMichrazim/resultsDetailed.aspx?id=85571&amp;rc=716&amp;tr=1693"/>
    <hyperlink ref="Q601" r:id="rId761" display="http://www.land.gov.il/TozaotMichrazim/resultsDetailed.aspx?id=85572&amp;rc=717&amp;tr=1693"/>
    <hyperlink ref="Q1390" r:id="rId762" display="http://www.land.gov.il/TozaotMichrazim/resultsDetailed.aspx?id=84814&amp;rc=718&amp;tr=1693"/>
    <hyperlink ref="Q1387" r:id="rId763" display="http://www.land.gov.il/TozaotMichrazim/resultsDetailed.aspx?id=84815&amp;rc=719&amp;tr=1693"/>
    <hyperlink ref="Q1389" r:id="rId764" display="http://www.land.gov.il/TozaotMichrazim/resultsDetailed.aspx?id=84816&amp;rc=720&amp;tr=1693"/>
    <hyperlink ref="Q1371" r:id="rId765" display="http://www.land.gov.il/TozaotMichrazim/resultsDetailed.aspx?id=84597&amp;rc=721&amp;tr=1693"/>
    <hyperlink ref="Q1363" r:id="rId766" display="http://www.land.gov.il/TozaotMichrazim/resultsDetailed.aspx?id=84598&amp;rc=722&amp;tr=1693"/>
    <hyperlink ref="Q1365" r:id="rId767" display="http://www.land.gov.il/TozaotMichrazim/resultsDetailed.aspx?id=84588&amp;rc=723&amp;tr=1693"/>
    <hyperlink ref="Q1341" r:id="rId768" display="http://www.land.gov.il/TozaotMichrazim/resultsDetailed.aspx?id=83814&amp;rc=724&amp;tr=1693"/>
    <hyperlink ref="Q1230" r:id="rId769" display="http://www.land.gov.il/TozaotMichrazim/resultsDetailed.aspx?id=83207&amp;rc=725&amp;tr=1693"/>
    <hyperlink ref="Q988" r:id="rId770" display="http://www.land.gov.il/TozaotMichrazim/resultsDetailed.aspx?id=82627&amp;rc=726&amp;tr=1693"/>
    <hyperlink ref="Q361" r:id="rId771" display="http://www.land.gov.il/TozaotMichrazim/resultsDetailed.aspx?id=82628&amp;rc=727&amp;tr=1693"/>
    <hyperlink ref="Q789" r:id="rId772" display="http://www.land.gov.il/TozaotMichrazim/resultsDetailed.aspx?id=82629&amp;rc=728&amp;tr=1693"/>
    <hyperlink ref="Q418" r:id="rId773" display="http://www.land.gov.il/TozaotMichrazim/resultsDetailed.aspx?id=82631&amp;rc=730&amp;tr=1693"/>
    <hyperlink ref="Q279" r:id="rId774" display="http://www.land.gov.il/TozaotMichrazim/resultsDetailed.aspx?id=82633&amp;rc=732&amp;tr=1693"/>
    <hyperlink ref="Q355" r:id="rId775" display="http://www.land.gov.il/TozaotMichrazim/resultsDetailed.aspx?id=82636&amp;rc=735&amp;tr=1693"/>
    <hyperlink ref="Q1105" r:id="rId776" display="http://www.land.gov.il/TozaotMichrazim/resultsDetailed.aspx?id=82637&amp;rc=736&amp;tr=1693"/>
    <hyperlink ref="Q894" r:id="rId777" display="http://www.land.gov.il/TozaotMichrazim/resultsDetailed.aspx?id=82639&amp;rc=738&amp;tr=1693"/>
    <hyperlink ref="Q381" r:id="rId778" display="http://www.land.gov.il/TozaotMichrazim/resultsDetailed.aspx?id=82640&amp;rc=739&amp;tr=1693"/>
    <hyperlink ref="Q1239" r:id="rId779" display="http://www.land.gov.il/TozaotMichrazim/resultsDetailed.aspx?id=82642&amp;rc=741&amp;tr=1693"/>
    <hyperlink ref="Q820" r:id="rId780" display="http://www.land.gov.il/TozaotMichrazim/resultsDetailed.aspx?id=82643&amp;rc=742&amp;tr=1693"/>
    <hyperlink ref="Q896" r:id="rId781" display="http://www.land.gov.il/TozaotMichrazim/resultsDetailed.aspx?id=82644&amp;rc=743&amp;tr=1693"/>
    <hyperlink ref="Q878" r:id="rId782" display="http://www.land.gov.il/TozaotMichrazim/resultsDetailed.aspx?id=82645&amp;rc=744&amp;tr=1693"/>
    <hyperlink ref="Q402" r:id="rId783" display="http://www.land.gov.il/TozaotMichrazim/resultsDetailed.aspx?id=82648&amp;rc=747&amp;tr=1693"/>
    <hyperlink ref="Q567" r:id="rId784" display="http://www.land.gov.il/TozaotMichrazim/resultsDetailed.aspx?id=82649&amp;rc=748&amp;tr=1693"/>
    <hyperlink ref="Q822" r:id="rId785" display="http://www.land.gov.il/TozaotMichrazim/resultsDetailed.aspx?id=82650&amp;rc=749&amp;tr=1693"/>
    <hyperlink ref="Q907" r:id="rId786" display="http://www.land.gov.il/TozaotMichrazim/resultsDetailed.aspx?id=82652&amp;rc=751&amp;tr=1693"/>
    <hyperlink ref="Q1008" r:id="rId787" display="http://www.land.gov.il/TozaotMichrazim/resultsDetailed.aspx?id=82653&amp;rc=752&amp;tr=1693"/>
    <hyperlink ref="Q944" r:id="rId788" display="http://www.land.gov.il/TozaotMichrazim/resultsDetailed.aspx?id=82654&amp;rc=753&amp;tr=1693"/>
    <hyperlink ref="Q832" r:id="rId789" display="http://www.land.gov.il/TozaotMichrazim/resultsDetailed.aspx?id=82655&amp;rc=754&amp;tr=1693"/>
    <hyperlink ref="Q1041" r:id="rId790" display="http://www.land.gov.il/TozaotMichrazim/resultsDetailed.aspx?id=82657&amp;rc=756&amp;tr=1693"/>
    <hyperlink ref="Q347" r:id="rId791" display="http://www.land.gov.il/TozaotMichrazim/resultsDetailed.aspx?id=82658&amp;rc=757&amp;tr=1693"/>
    <hyperlink ref="Q1249" r:id="rId792" display="http://www.land.gov.il/TozaotMichrazim/resultsDetailed.aspx?id=82659&amp;rc=758&amp;tr=1693"/>
    <hyperlink ref="Q1054" r:id="rId793" display="http://www.land.gov.il/TozaotMichrazim/resultsDetailed.aspx?id=82660&amp;rc=759&amp;tr=1693"/>
    <hyperlink ref="Q681" r:id="rId794" display="http://www.land.gov.il/TozaotMichrazim/resultsDetailed.aspx?id=82661&amp;rc=760&amp;tr=1693"/>
    <hyperlink ref="Q628" r:id="rId795" display="http://www.land.gov.il/TozaotMichrazim/resultsDetailed.aspx?id=82662&amp;rc=761&amp;tr=1693"/>
    <hyperlink ref="Q679" r:id="rId796" display="http://www.land.gov.il/TozaotMichrazim/resultsDetailed.aspx?id=82663&amp;rc=762&amp;tr=1693"/>
    <hyperlink ref="Q730" r:id="rId797" display="http://www.land.gov.il/TozaotMichrazim/resultsDetailed.aspx?id=82664&amp;rc=763&amp;tr=1693"/>
    <hyperlink ref="Q1055" r:id="rId798" display="http://www.land.gov.il/TozaotMichrazim/resultsDetailed.aspx?id=82666&amp;rc=765&amp;tr=1693"/>
    <hyperlink ref="Q963" r:id="rId799" display="http://www.land.gov.il/TozaotMichrazim/resultsDetailed.aspx?id=82667&amp;rc=766&amp;tr=1693"/>
    <hyperlink ref="Q229" r:id="rId800" display="http://www.land.gov.il/TozaotMichrazim/resultsDetailed.aspx?id=82668&amp;rc=767&amp;tr=1693"/>
    <hyperlink ref="Q215" r:id="rId801" display="http://www.land.gov.il/TozaotMichrazim/resultsDetailed.aspx?id=82669&amp;rc=768&amp;tr=1693"/>
    <hyperlink ref="Q965" r:id="rId802" display="http://www.land.gov.il/TozaotMichrazim/resultsDetailed.aspx?id=82676&amp;rc=775&amp;tr=1693"/>
    <hyperlink ref="Q1206" r:id="rId803" display="http://www.land.gov.il/TozaotMichrazim/resultsDetailed.aspx?id=82677&amp;rc=776&amp;tr=1693"/>
    <hyperlink ref="Q1150" r:id="rId804" display="http://www.land.gov.il/TozaotMichrazim/resultsDetailed.aspx?id=82678&amp;rc=777&amp;tr=1693"/>
    <hyperlink ref="Q936" r:id="rId805" display="http://www.land.gov.il/TozaotMichrazim/resultsDetailed.aspx?id=82679&amp;rc=778&amp;tr=1693"/>
    <hyperlink ref="Q1202" r:id="rId806" display="http://www.land.gov.il/TozaotMichrazim/resultsDetailed.aspx?id=82680&amp;rc=779&amp;tr=1693"/>
    <hyperlink ref="Q797" r:id="rId807" display="http://www.land.gov.il/TozaotMichrazim/resultsDetailed.aspx?id=82681&amp;rc=780&amp;tr=1693"/>
    <hyperlink ref="Q858" r:id="rId808" display="http://www.land.gov.il/TozaotMichrazim/resultsDetailed.aspx?id=82682&amp;rc=781&amp;tr=1693"/>
    <hyperlink ref="Q1161" r:id="rId809" display="http://www.land.gov.il/TozaotMichrazim/resultsDetailed.aspx?id=82683&amp;rc=782&amp;tr=1693"/>
    <hyperlink ref="Q1189" r:id="rId810" display="http://www.land.gov.il/TozaotMichrazim/resultsDetailed.aspx?id=82684&amp;rc=783&amp;tr=1693"/>
    <hyperlink ref="Q991" r:id="rId811" display="http://www.land.gov.il/TozaotMichrazim/resultsDetailed.aspx?id=82686&amp;rc=785&amp;tr=1693"/>
    <hyperlink ref="Q417" r:id="rId812" display="http://www.land.gov.il/TozaotMichrazim/resultsDetailed.aspx?id=82687&amp;rc=786&amp;tr=1693"/>
    <hyperlink ref="Q783" r:id="rId813" display="http://www.land.gov.il/TozaotMichrazim/resultsDetailed.aspx?id=82688&amp;rc=787&amp;tr=1693"/>
    <hyperlink ref="Q502" r:id="rId814" display="http://www.land.gov.il/TozaotMichrazim/resultsDetailed.aspx?id=82689&amp;rc=788&amp;tr=1693"/>
    <hyperlink ref="Q304" r:id="rId815" display="http://www.land.gov.il/TozaotMichrazim/resultsDetailed.aspx?id=82690&amp;rc=789&amp;tr=1693"/>
    <hyperlink ref="Q674" r:id="rId816" display="http://www.land.gov.il/TozaotMichrazim/resultsDetailed.aspx?id=82691&amp;rc=790&amp;tr=1693"/>
    <hyperlink ref="Q680" r:id="rId817" display="http://www.land.gov.il/TozaotMichrazim/resultsDetailed.aspx?id=82695&amp;rc=794&amp;tr=1693"/>
    <hyperlink ref="Q329" r:id="rId818" display="http://www.land.gov.il/TozaotMichrazim/resultsDetailed.aspx?id=82696&amp;rc=795&amp;tr=1693"/>
    <hyperlink ref="Q275" r:id="rId819" display="http://www.land.gov.il/TozaotMichrazim/resultsDetailed.aspx?id=82698&amp;rc=797&amp;tr=1693"/>
    <hyperlink ref="Q1122" r:id="rId820" display="http://www.land.gov.il/TozaotMichrazim/resultsDetailed.aspx?id=82701&amp;rc=800&amp;tr=1693"/>
    <hyperlink ref="Q326" r:id="rId821" display="http://www.land.gov.il/TozaotMichrazim/resultsDetailed.aspx?id=82703&amp;rc=802&amp;tr=1693"/>
    <hyperlink ref="Q543" r:id="rId822" display="http://www.land.gov.il/TozaotMichrazim/resultsDetailed.aspx?id=82704&amp;rc=803&amp;tr=1693"/>
    <hyperlink ref="Q644" r:id="rId823" display="http://www.land.gov.il/TozaotMichrazim/resultsDetailed.aspx?id=82705&amp;rc=804&amp;tr=1693"/>
    <hyperlink ref="Q1124" r:id="rId824" display="http://www.land.gov.il/TozaotMichrazim/resultsDetailed.aspx?id=82706&amp;rc=805&amp;tr=1693"/>
    <hyperlink ref="Q620" r:id="rId825" display="http://www.land.gov.il/TozaotMichrazim/resultsDetailed.aspx?id=82707&amp;rc=806&amp;tr=1693"/>
    <hyperlink ref="Q637" r:id="rId826" display="http://www.land.gov.il/TozaotMichrazim/resultsDetailed.aspx?id=82708&amp;rc=807&amp;tr=1693"/>
    <hyperlink ref="Q777" r:id="rId827" display="http://www.land.gov.il/TozaotMichrazim/resultsDetailed.aspx?id=82709&amp;rc=808&amp;tr=1693"/>
    <hyperlink ref="Q437" r:id="rId828" display="http://www.land.gov.il/TozaotMichrazim/resultsDetailed.aspx?id=82710&amp;rc=809&amp;tr=1693"/>
    <hyperlink ref="Q217" r:id="rId829" display="http://www.land.gov.il/TozaotMichrazim/resultsDetailed.aspx?id=82713&amp;rc=812&amp;tr=1693"/>
    <hyperlink ref="Q1205" r:id="rId830" display="http://www.land.gov.il/TozaotMichrazim/resultsDetailed.aspx?id=82714&amp;rc=813&amp;tr=1693"/>
    <hyperlink ref="Q542" r:id="rId831" display="http://www.land.gov.il/TozaotMichrazim/resultsDetailed.aspx?id=82715&amp;rc=814&amp;tr=1693"/>
    <hyperlink ref="Q1171" r:id="rId832" display="http://www.land.gov.il/TozaotMichrazim/resultsDetailed.aspx?id=82717&amp;rc=816&amp;tr=1693"/>
    <hyperlink ref="Q529" r:id="rId833" display="http://www.land.gov.il/TozaotMichrazim/resultsDetailed.aspx?id=82719&amp;rc=818&amp;tr=1693"/>
    <hyperlink ref="Q702" r:id="rId834" display="http://www.land.gov.il/TozaotMichrazim/resultsDetailed.aspx?id=82720&amp;rc=819&amp;tr=1693"/>
    <hyperlink ref="Q1225" r:id="rId835" display="http://www.land.gov.il/TozaotMichrazim/resultsDetailed.aspx?id=82721&amp;rc=820&amp;tr=1693"/>
    <hyperlink ref="Q1218" r:id="rId836" display="http://www.land.gov.il/TozaotMichrazim/resultsDetailed.aspx?id=82722&amp;rc=821&amp;tr=1693"/>
    <hyperlink ref="Q1093" r:id="rId837" display="http://www.land.gov.il/TozaotMichrazim/resultsDetailed.aspx?id=82723&amp;rc=822&amp;tr=1693"/>
    <hyperlink ref="Q530" r:id="rId838" display="http://www.land.gov.il/TozaotMichrazim/resultsDetailed.aspx?id=82724&amp;rc=823&amp;tr=1693"/>
    <hyperlink ref="Q1201" r:id="rId839" display="http://www.land.gov.il/TozaotMichrazim/resultsDetailed.aspx?id=82726&amp;rc=825&amp;tr=1693"/>
    <hyperlink ref="Q580" r:id="rId840" display="http://www.land.gov.il/TozaotMichrazim/resultsDetailed.aspx?id=82727&amp;rc=826&amp;tr=1693"/>
    <hyperlink ref="Q989" r:id="rId841" display="http://www.land.gov.il/TozaotMichrazim/resultsDetailed.aspx?id=82728&amp;rc=827&amp;tr=1693"/>
    <hyperlink ref="Q1220" r:id="rId842" display="http://www.land.gov.il/TozaotMichrazim/resultsDetailed.aspx?id=82729&amp;rc=828&amp;tr=1693"/>
    <hyperlink ref="Q1250" r:id="rId843" display="http://www.land.gov.il/TozaotMichrazim/resultsDetailed.aspx?id=82730&amp;rc=829&amp;tr=1693"/>
    <hyperlink ref="Q663" r:id="rId844" display="http://www.land.gov.il/TozaotMichrazim/resultsDetailed.aspx?id=82731&amp;rc=830&amp;tr=1693"/>
    <hyperlink ref="Q653" r:id="rId845" display="http://www.land.gov.il/TozaotMichrazim/resultsDetailed.aspx?id=82732&amp;rc=831&amp;tr=1693"/>
    <hyperlink ref="Q1197" r:id="rId846" display="http://www.land.gov.il/TozaotMichrazim/resultsDetailed.aspx?id=82733&amp;rc=832&amp;tr=1693"/>
    <hyperlink ref="Q829" r:id="rId847" display="http://www.land.gov.il/TozaotMichrazim/resultsDetailed.aspx?id=82734&amp;rc=833&amp;tr=1693"/>
    <hyperlink ref="Q1163" r:id="rId848" display="http://www.land.gov.il/TozaotMichrazim/resultsDetailed.aspx?id=82735&amp;rc=834&amp;tr=1693"/>
    <hyperlink ref="Q883" r:id="rId849" display="http://www.land.gov.il/TozaotMichrazim/resultsDetailed.aspx?id=82736&amp;rc=835&amp;tr=1693"/>
    <hyperlink ref="Q482" r:id="rId850" display="http://www.land.gov.il/TozaotMichrazim/resultsDetailed.aspx?id=82737&amp;rc=836&amp;tr=1693"/>
    <hyperlink ref="Q247" r:id="rId851" display="http://www.land.gov.il/TozaotMichrazim/resultsDetailed.aspx?id=82738&amp;rc=837&amp;tr=1693"/>
    <hyperlink ref="Q608" r:id="rId852" display="http://www.land.gov.il/TozaotMichrazim/resultsDetailed.aspx?id=82739&amp;rc=838&amp;tr=1693"/>
    <hyperlink ref="Q723" r:id="rId853" display="http://www.land.gov.il/TozaotMichrazim/resultsDetailed.aspx?id=82740&amp;rc=839&amp;tr=1693"/>
    <hyperlink ref="Q258" r:id="rId854" display="http://www.land.gov.il/TozaotMichrazim/resultsDetailed.aspx?id=82741&amp;rc=840&amp;tr=1693"/>
    <hyperlink ref="Q900" r:id="rId855" display="http://www.land.gov.il/TozaotMichrazim/resultsDetailed.aspx?id=82742&amp;rc=841&amp;tr=1693"/>
    <hyperlink ref="Q682" r:id="rId856" display="http://www.land.gov.il/TozaotMichrazim/resultsDetailed.aspx?id=82743&amp;rc=842&amp;tr=1693"/>
    <hyperlink ref="Q903" r:id="rId857" display="http://www.land.gov.il/TozaotMichrazim/resultsDetailed.aspx?id=82745&amp;rc=844&amp;tr=1693"/>
    <hyperlink ref="Q1186" r:id="rId858" display="http://www.land.gov.il/TozaotMichrazim/resultsDetailed.aspx?id=82746&amp;rc=845&amp;tr=1693"/>
    <hyperlink ref="Q720" r:id="rId859" display="http://www.land.gov.il/TozaotMichrazim/resultsDetailed.aspx?id=82747&amp;rc=846&amp;tr=1693"/>
    <hyperlink ref="Q686" r:id="rId860" display="http://www.land.gov.il/TozaotMichrazim/resultsDetailed.aspx?id=82748&amp;rc=847&amp;tr=1693"/>
    <hyperlink ref="Q650" r:id="rId861" display="http://www.land.gov.il/TozaotMichrazim/resultsDetailed.aspx?id=82749&amp;rc=848&amp;tr=1693"/>
    <hyperlink ref="Q871" r:id="rId862" display="http://www.land.gov.il/TozaotMichrazim/resultsDetailed.aspx?id=82750&amp;rc=849&amp;tr=1693"/>
    <hyperlink ref="Q830" r:id="rId863" display="http://www.land.gov.il/TozaotMichrazim/resultsDetailed.aspx?id=82751&amp;rc=850&amp;tr=1693"/>
    <hyperlink ref="Q876" r:id="rId864" display="http://www.land.gov.il/TozaotMichrazim/resultsDetailed.aspx?id=82752&amp;rc=851&amp;tr=1693"/>
    <hyperlink ref="Q872" r:id="rId865" display="http://www.land.gov.il/TozaotMichrazim/resultsDetailed.aspx?id=82753&amp;rc=852&amp;tr=1693"/>
    <hyperlink ref="Q902" r:id="rId866" display="http://www.land.gov.il/TozaotMichrazim/resultsDetailed.aspx?id=82754&amp;rc=853&amp;tr=1693"/>
    <hyperlink ref="Q954" r:id="rId867" display="http://www.land.gov.il/TozaotMichrazim/resultsDetailed.aspx?id=82755&amp;rc=854&amp;tr=1693"/>
    <hyperlink ref="Q757" r:id="rId868" display="http://www.land.gov.il/TozaotMichrazim/resultsDetailed.aspx?id=82756&amp;rc=855&amp;tr=1693"/>
    <hyperlink ref="Q739" r:id="rId869" display="http://www.land.gov.il/TozaotMichrazim/resultsDetailed.aspx?id=82757&amp;rc=856&amp;tr=1693"/>
    <hyperlink ref="Q1168" r:id="rId870" display="http://www.land.gov.il/TozaotMichrazim/resultsDetailed.aspx?id=82758&amp;rc=857&amp;tr=1693"/>
    <hyperlink ref="Q1108" r:id="rId871" display="http://www.land.gov.il/TozaotMichrazim/resultsDetailed.aspx?id=82759&amp;rc=858&amp;tr=1693"/>
    <hyperlink ref="Q843" r:id="rId872" display="http://www.land.gov.il/TozaotMichrazim/resultsDetailed.aspx?id=82760&amp;rc=859&amp;tr=1693"/>
    <hyperlink ref="Q1089" r:id="rId873" display="http://www.land.gov.il/TozaotMichrazim/resultsDetailed.aspx?id=82761&amp;rc=860&amp;tr=1693"/>
    <hyperlink ref="Q600" r:id="rId874" display="http://www.land.gov.il/TozaotMichrazim/resultsDetailed.aspx?id=82762&amp;rc=861&amp;tr=1693"/>
    <hyperlink ref="Q1151" r:id="rId875" display="http://www.land.gov.il/TozaotMichrazim/resultsDetailed.aspx?id=82763&amp;rc=862&amp;tr=1693"/>
    <hyperlink ref="Q245" r:id="rId876" display="http://www.land.gov.il/TozaotMichrazim/resultsDetailed.aspx?id=82764&amp;rc=863&amp;tr=1693"/>
    <hyperlink ref="Q1135" r:id="rId877" display="http://www.land.gov.il/TozaotMichrazim/resultsDetailed.aspx?id=82765&amp;rc=864&amp;tr=1693"/>
    <hyperlink ref="Q439" r:id="rId878" display="http://www.land.gov.il/TozaotMichrazim/resultsDetailed.aspx?id=82767&amp;rc=866&amp;tr=1693"/>
    <hyperlink ref="Q505" r:id="rId879" display="http://www.land.gov.il/TozaotMichrazim/resultsDetailed.aspx?id=82768&amp;rc=867&amp;tr=1693"/>
    <hyperlink ref="Q206" r:id="rId880" display="http://www.land.gov.il/TozaotMichrazim/resultsDetailed.aspx?id=82769&amp;rc=868&amp;tr=1693"/>
    <hyperlink ref="Q652" r:id="rId881" display="http://www.land.gov.il/TozaotMichrazim/resultsDetailed.aspx?id=82770&amp;rc=869&amp;tr=1693"/>
    <hyperlink ref="Q801" r:id="rId882" display="http://www.land.gov.il/TozaotMichrazim/resultsDetailed.aspx?id=82771&amp;rc=870&amp;tr=1693"/>
    <hyperlink ref="Q693" r:id="rId883" display="http://www.land.gov.il/TozaotMichrazim/resultsDetailed.aspx?id=82772&amp;rc=871&amp;tr=1693"/>
    <hyperlink ref="Q1166" r:id="rId884" display="http://www.land.gov.il/TozaotMichrazim/resultsDetailed.aspx?id=82773&amp;rc=872&amp;tr=1693"/>
    <hyperlink ref="Q610" r:id="rId885" display="http://www.land.gov.il/TozaotMichrazim/resultsDetailed.aspx?id=82774&amp;rc=873&amp;tr=1693"/>
    <hyperlink ref="Q1058" r:id="rId886" display="http://www.land.gov.il/TozaotMichrazim/resultsDetailed.aspx?id=82775&amp;rc=874&amp;tr=1693"/>
    <hyperlink ref="Q401" r:id="rId887" display="http://www.land.gov.il/TozaotMichrazim/resultsDetailed.aspx?id=82776&amp;rc=875&amp;tr=1693"/>
    <hyperlink ref="Q734" r:id="rId888" display="http://www.land.gov.il/TozaotMichrazim/resultsDetailed.aspx?id=82777&amp;rc=876&amp;tr=1693"/>
    <hyperlink ref="Q579" r:id="rId889" display="http://www.land.gov.il/TozaotMichrazim/resultsDetailed.aspx?id=82778&amp;rc=877&amp;tr=1693"/>
    <hyperlink ref="Q1096" r:id="rId890" display="http://www.land.gov.il/TozaotMichrazim/resultsDetailed.aspx?id=82779&amp;rc=878&amp;tr=1693"/>
    <hyperlink ref="Q1173" r:id="rId891" display="http://www.land.gov.il/TozaotMichrazim/resultsDetailed.aspx?id=82780&amp;rc=879&amp;tr=1693"/>
    <hyperlink ref="Q1031" r:id="rId892" display="http://www.land.gov.il/TozaotMichrazim/resultsDetailed.aspx?id=82781&amp;rc=880&amp;tr=1693"/>
    <hyperlink ref="Q557" r:id="rId893" display="http://www.land.gov.il/TozaotMichrazim/resultsDetailed.aspx?id=82782&amp;rc=881&amp;tr=1693"/>
    <hyperlink ref="Q1091" r:id="rId894" display="http://www.land.gov.il/TozaotMichrazim/resultsDetailed.aspx?id=82783&amp;rc=882&amp;tr=1693"/>
    <hyperlink ref="Q990" r:id="rId895" display="http://www.land.gov.il/TozaotMichrazim/resultsDetailed.aspx?id=82784&amp;rc=883&amp;tr=1693"/>
    <hyperlink ref="Q1157" r:id="rId896" display="http://www.land.gov.il/TozaotMichrazim/resultsDetailed.aspx?id=82785&amp;rc=884&amp;tr=1693"/>
    <hyperlink ref="Q1156" r:id="rId897" display="http://www.land.gov.il/TozaotMichrazim/resultsDetailed.aspx?id=82786&amp;rc=885&amp;tr=1693"/>
    <hyperlink ref="Q835" r:id="rId898" display="http://www.land.gov.il/TozaotMichrazim/resultsDetailed.aspx?id=82787&amp;rc=886&amp;tr=1693"/>
    <hyperlink ref="Q1052" r:id="rId899" display="http://www.land.gov.il/TozaotMichrazim/resultsDetailed.aspx?id=82788&amp;rc=887&amp;tr=1693"/>
    <hyperlink ref="Q837" r:id="rId900" display="http://www.land.gov.il/TozaotMichrazim/resultsDetailed.aspx?id=82790&amp;rc=889&amp;tr=1693"/>
    <hyperlink ref="Q938" r:id="rId901" display="http://www.land.gov.il/TozaotMichrazim/resultsDetailed.aspx?id=82791&amp;rc=890&amp;tr=1693"/>
    <hyperlink ref="Q1200" r:id="rId902" display="http://www.land.gov.il/TozaotMichrazim/resultsDetailed.aspx?id=82792&amp;rc=891&amp;tr=1693"/>
    <hyperlink ref="Q752" r:id="rId903" display="http://www.land.gov.il/TozaotMichrazim/resultsDetailed.aspx?id=82793&amp;rc=892&amp;tr=1693"/>
    <hyperlink ref="Q575" r:id="rId904" display="http://www.land.gov.il/TozaotMichrazim/resultsDetailed.aspx?id=82794&amp;rc=893&amp;tr=1693"/>
    <hyperlink ref="Q577" r:id="rId905" display="http://www.land.gov.il/TozaotMichrazim/resultsDetailed.aspx?id=82795&amp;rc=894&amp;tr=1693"/>
    <hyperlink ref="Q768" r:id="rId906" display="http://www.land.gov.il/TozaotMichrazim/resultsDetailed.aspx?id=82796&amp;rc=895&amp;tr=1693"/>
    <hyperlink ref="Q1013" r:id="rId907" display="http://www.land.gov.il/TozaotMichrazim/resultsDetailed.aspx?id=82797&amp;rc=896&amp;tr=1693"/>
    <hyperlink ref="Q892" r:id="rId908" display="http://www.land.gov.il/TozaotMichrazim/resultsDetailed.aspx?id=82798&amp;rc=897&amp;tr=1693"/>
    <hyperlink ref="Q348" r:id="rId909" display="http://www.land.gov.il/TozaotMichrazim/resultsDetailed.aspx?id=82799&amp;rc=898&amp;tr=1693"/>
    <hyperlink ref="Q1141" r:id="rId910" display="http://www.land.gov.il/TozaotMichrazim/resultsDetailed.aspx?id=82800&amp;rc=899&amp;tr=1693"/>
    <hyperlink ref="Q450" r:id="rId911" display="http://www.land.gov.il/TozaotMichrazim/resultsDetailed.aspx?id=82801&amp;rc=900&amp;tr=1693"/>
    <hyperlink ref="Q244" r:id="rId912" display="http://www.land.gov.il/TozaotMichrazim/resultsDetailed.aspx?id=82802&amp;rc=901&amp;tr=1693"/>
    <hyperlink ref="Q241" r:id="rId913" display="http://www.land.gov.il/TozaotMichrazim/resultsDetailed.aspx?id=82803&amp;rc=902&amp;tr=1693"/>
    <hyperlink ref="Q406" r:id="rId914" display="http://www.land.gov.il/TozaotMichrazim/resultsDetailed.aspx?id=82804&amp;rc=903&amp;tr=1693"/>
    <hyperlink ref="Q464" r:id="rId915" display="http://www.land.gov.il/TozaotMichrazim/resultsDetailed.aspx?id=82805&amp;rc=904&amp;tr=1693"/>
    <hyperlink ref="Q974" r:id="rId916" display="http://www.land.gov.il/TozaotMichrazim/resultsDetailed.aspx?id=82806&amp;rc=905&amp;tr=1693"/>
    <hyperlink ref="Q1056" r:id="rId917" display="http://www.land.gov.il/TozaotMichrazim/resultsDetailed.aspx?id=82807&amp;rc=906&amp;tr=1693"/>
    <hyperlink ref="Q1085" r:id="rId918" display="http://www.land.gov.il/TozaotMichrazim/resultsDetailed.aspx?id=82808&amp;rc=907&amp;tr=1693"/>
    <hyperlink ref="Q972" r:id="rId919" display="http://www.land.gov.il/TozaotMichrazim/resultsDetailed.aspx?id=82809&amp;rc=908&amp;tr=1693"/>
    <hyperlink ref="Q975" r:id="rId920" display="http://www.land.gov.il/TozaotMichrazim/resultsDetailed.aspx?id=82811&amp;rc=910&amp;tr=1693"/>
    <hyperlink ref="Q283" r:id="rId921" display="http://www.land.gov.il/TozaotMichrazim/resultsDetailed.aspx?id=82812&amp;rc=911&amp;tr=1693"/>
    <hyperlink ref="Q937" r:id="rId922" display="http://www.land.gov.il/TozaotMichrazim/resultsDetailed.aspx?id=82813&amp;rc=912&amp;tr=1693"/>
    <hyperlink ref="Q1210" r:id="rId923" display="http://www.land.gov.il/TozaotMichrazim/resultsDetailed.aspx?id=82814&amp;rc=913&amp;tr=1693"/>
    <hyperlink ref="Q1092" r:id="rId924" display="http://www.land.gov.il/TozaotMichrazim/resultsDetailed.aspx?id=82815&amp;rc=914&amp;tr=1693"/>
    <hyperlink ref="Q915" r:id="rId925" display="http://www.land.gov.il/TozaotMichrazim/resultsDetailed.aspx?id=82816&amp;rc=915&amp;tr=1693"/>
    <hyperlink ref="Q1162" r:id="rId926" display="http://www.land.gov.il/TozaotMichrazim/resultsDetailed.aspx?id=82817&amp;rc=916&amp;tr=1693"/>
    <hyperlink ref="Q1084" r:id="rId927" display="http://www.land.gov.il/TozaotMichrazim/resultsDetailed.aspx?id=82818&amp;rc=917&amp;tr=1693"/>
    <hyperlink ref="Q1176" r:id="rId928" display="http://www.land.gov.il/TozaotMichrazim/resultsDetailed.aspx?id=82819&amp;rc=918&amp;tr=1693"/>
    <hyperlink ref="Q889" r:id="rId929" display="http://www.land.gov.il/TozaotMichrazim/resultsDetailed.aspx?id=82820&amp;rc=919&amp;tr=1693"/>
    <hyperlink ref="Q807" r:id="rId930" display="http://www.land.gov.il/TozaotMichrazim/resultsDetailed.aspx?id=82821&amp;rc=920&amp;tr=1693"/>
    <hyperlink ref="Q808" r:id="rId931" display="http://www.land.gov.il/TozaotMichrazim/resultsDetailed.aspx?id=82822&amp;rc=921&amp;tr=1693"/>
    <hyperlink ref="Q952" r:id="rId932" display="http://www.land.gov.il/TozaotMichrazim/resultsDetailed.aspx?id=82824&amp;rc=923&amp;tr=1693"/>
    <hyperlink ref="Q854" r:id="rId933" display="http://www.land.gov.il/TozaotMichrazim/resultsDetailed.aspx?id=82825&amp;rc=924&amp;tr=1693"/>
    <hyperlink ref="Q419" r:id="rId934" display="http://www.land.gov.il/TozaotMichrazim/resultsDetailed.aspx?id=82826&amp;rc=925&amp;tr=1693"/>
    <hyperlink ref="Q420" r:id="rId935" display="http://www.land.gov.il/TozaotMichrazim/resultsDetailed.aspx?id=82827&amp;rc=926&amp;tr=1693"/>
    <hyperlink ref="Q228" r:id="rId936" display="http://www.land.gov.il/TozaotMichrazim/resultsDetailed.aspx?id=82829&amp;rc=928&amp;tr=1693"/>
    <hyperlink ref="Q630" r:id="rId937" display="http://www.land.gov.il/TozaotMichrazim/resultsDetailed.aspx?id=82830&amp;rc=929&amp;tr=1693"/>
    <hyperlink ref="Q531" r:id="rId938" display="http://www.land.gov.il/TozaotMichrazim/resultsDetailed.aspx?id=82831&amp;rc=930&amp;tr=1693"/>
    <hyperlink ref="Q218" r:id="rId939" display="http://www.land.gov.il/TozaotMichrazim/resultsDetailed.aspx?id=82832&amp;rc=931&amp;tr=1693"/>
    <hyperlink ref="Q834" r:id="rId940" display="http://www.land.gov.il/TozaotMichrazim/resultsDetailed.aspx?id=82833&amp;rc=932&amp;tr=1693"/>
    <hyperlink ref="Q534" r:id="rId941" display="http://www.land.gov.il/TozaotMichrazim/resultsDetailed.aspx?id=82834&amp;rc=933&amp;tr=1693"/>
    <hyperlink ref="Q1114" r:id="rId942" display="http://www.land.gov.il/TozaotMichrazim/resultsDetailed.aspx?id=82835&amp;rc=934&amp;tr=1693"/>
    <hyperlink ref="Q1140" r:id="rId943" display="http://www.land.gov.il/TozaotMichrazim/resultsDetailed.aspx?id=82836&amp;rc=935&amp;tr=1693"/>
    <hyperlink ref="Q815" r:id="rId944" display="http://www.land.gov.il/TozaotMichrazim/resultsDetailed.aspx?id=82838&amp;rc=937&amp;tr=1693"/>
    <hyperlink ref="Q672" r:id="rId945" display="http://www.land.gov.il/TozaotMichrazim/resultsDetailed.aspx?id=82839&amp;rc=938&amp;tr=1693"/>
    <hyperlink ref="Q639" r:id="rId946" display="http://www.land.gov.il/TozaotMichrazim/resultsDetailed.aspx?id=82840&amp;rc=939&amp;tr=1693"/>
    <hyperlink ref="Q1270" r:id="rId947" display="http://www.land.gov.il/TozaotMichrazim/resultsDetailed.aspx?id=82841&amp;rc=940&amp;tr=1693"/>
    <hyperlink ref="Q1158" r:id="rId948" display="http://www.land.gov.il/TozaotMichrazim/resultsDetailed.aspx?id=82842&amp;rc=941&amp;tr=1693"/>
    <hyperlink ref="Q791" r:id="rId949" display="http://www.land.gov.il/TozaotMichrazim/resultsDetailed.aspx?id=82843&amp;rc=942&amp;tr=1693"/>
    <hyperlink ref="Q339" r:id="rId950" display="http://www.land.gov.il/TozaotMichrazim/resultsDetailed.aspx?id=82844&amp;rc=943&amp;tr=1693"/>
    <hyperlink ref="Q375" r:id="rId951" display="http://www.land.gov.il/TozaotMichrazim/resultsDetailed.aspx?id=82845&amp;rc=944&amp;tr=1693"/>
    <hyperlink ref="Q322" r:id="rId952" display="http://www.land.gov.il/TozaotMichrazim/resultsDetailed.aspx?id=82846&amp;rc=945&amp;tr=1693"/>
    <hyperlink ref="Q671" r:id="rId953" display="http://www.land.gov.il/TozaotMichrazim/resultsDetailed.aspx?id=82847&amp;rc=946&amp;tr=1693"/>
    <hyperlink ref="Q687" r:id="rId954" display="http://www.land.gov.il/TozaotMichrazim/resultsDetailed.aspx?id=82849&amp;rc=948&amp;tr=1693"/>
    <hyperlink ref="Q857" r:id="rId955" display="http://www.land.gov.il/TozaotMichrazim/resultsDetailed.aspx?id=82851&amp;rc=950&amp;tr=1693"/>
    <hyperlink ref="Q1117" r:id="rId956" display="http://www.land.gov.il/TozaotMichrazim/resultsDetailed.aspx?id=82852&amp;rc=951&amp;tr=1693"/>
    <hyperlink ref="Q984" r:id="rId957" display="http://www.land.gov.il/TozaotMichrazim/resultsDetailed.aspx?id=82853&amp;rc=952&amp;tr=1693"/>
    <hyperlink ref="Q1125" r:id="rId958" display="http://www.land.gov.il/TozaotMichrazim/resultsDetailed.aspx?id=82854&amp;rc=953&amp;tr=1693"/>
    <hyperlink ref="Q423" r:id="rId959" display="http://www.land.gov.il/TozaotMichrazim/resultsDetailed.aspx?id=82855&amp;rc=954&amp;tr=1693"/>
    <hyperlink ref="Q721" r:id="rId960" display="http://www.land.gov.il/TozaotMichrazim/resultsDetailed.aspx?id=82856&amp;rc=955&amp;tr=1693"/>
    <hyperlink ref="Q719" r:id="rId961" display="http://www.land.gov.il/TozaotMichrazim/resultsDetailed.aspx?id=82857&amp;rc=956&amp;tr=1693"/>
    <hyperlink ref="Q448" r:id="rId962" display="http://www.land.gov.il/TozaotMichrazim/resultsDetailed.aspx?id=82858&amp;rc=957&amp;tr=1693"/>
    <hyperlink ref="Q1121" r:id="rId963" display="http://www.land.gov.il/TozaotMichrazim/resultsDetailed.aspx?id=82859&amp;rc=958&amp;tr=1693"/>
    <hyperlink ref="Q1106" r:id="rId964" display="http://www.land.gov.il/TozaotMichrazim/resultsDetailed.aspx?id=82860&amp;rc=959&amp;tr=1693"/>
    <hyperlink ref="Q751" r:id="rId965" display="http://www.land.gov.il/TozaotMichrazim/resultsDetailed.aspx?id=82861&amp;rc=960&amp;tr=1693"/>
    <hyperlink ref="Q804" r:id="rId966" display="http://www.land.gov.il/TozaotMichrazim/resultsDetailed.aspx?id=82862&amp;rc=961&amp;tr=1693"/>
    <hyperlink ref="Q805" r:id="rId967" display="http://www.land.gov.il/TozaotMichrazim/resultsDetailed.aspx?id=82863&amp;rc=962&amp;tr=1693"/>
    <hyperlink ref="Q806" r:id="rId968" display="http://www.land.gov.il/TozaotMichrazim/resultsDetailed.aspx?id=82864&amp;rc=963&amp;tr=1693"/>
    <hyperlink ref="Q1017" r:id="rId969" display="http://www.land.gov.il/TozaotMichrazim/resultsDetailed.aspx?id=82865&amp;rc=964&amp;tr=1693"/>
    <hyperlink ref="Q969" r:id="rId970" display="http://www.land.gov.il/TozaotMichrazim/resultsDetailed.aspx?id=82866&amp;rc=965&amp;tr=1693"/>
    <hyperlink ref="Q1003" r:id="rId971" display="http://www.land.gov.il/TozaotMichrazim/resultsDetailed.aspx?id=82867&amp;rc=966&amp;tr=1693"/>
    <hyperlink ref="Q632" r:id="rId972" display="http://www.land.gov.il/TozaotMichrazim/resultsDetailed.aspx?id=82872&amp;rc=971&amp;tr=1693"/>
    <hyperlink ref="Q615" r:id="rId973" display="http://www.land.gov.il/TozaotMichrazim/resultsDetailed.aspx?id=82873&amp;rc=972&amp;tr=1693"/>
    <hyperlink ref="Q343" r:id="rId974" display="http://www.land.gov.il/TozaotMichrazim/resultsDetailed.aspx?id=82874&amp;rc=973&amp;tr=1693"/>
    <hyperlink ref="Q565" r:id="rId975" display="http://www.land.gov.il/TozaotMichrazim/resultsDetailed.aspx?id=82875&amp;rc=974&amp;tr=1693"/>
    <hyperlink ref="Q951" r:id="rId976" display="http://www.land.gov.il/TozaotMichrazim/resultsDetailed.aspx?id=82879&amp;rc=978&amp;tr=1693"/>
    <hyperlink ref="Q1060" r:id="rId977" display="http://www.land.gov.il/TozaotMichrazim/resultsDetailed.aspx?id=82880&amp;rc=979&amp;tr=1693"/>
    <hyperlink ref="Q665" r:id="rId978" display="http://www.land.gov.il/TozaotMichrazim/resultsDetailed.aspx?id=82881&amp;rc=980&amp;tr=1693"/>
    <hyperlink ref="Q895" r:id="rId979" display="http://www.land.gov.il/TozaotMichrazim/resultsDetailed.aspx?id=82882&amp;rc=981&amp;tr=1693"/>
    <hyperlink ref="Q928" r:id="rId980" display="http://www.land.gov.il/TozaotMichrazim/resultsDetailed.aspx?id=82884&amp;rc=983&amp;tr=1693"/>
    <hyperlink ref="Q555" r:id="rId981" display="http://www.land.gov.il/TozaotMichrazim/resultsDetailed.aspx?id=82885&amp;rc=984&amp;tr=1693"/>
    <hyperlink ref="Q910" r:id="rId982" display="http://www.land.gov.il/TozaotMichrazim/resultsDetailed.aspx?id=82886&amp;rc=985&amp;tr=1693"/>
    <hyperlink ref="Q828" r:id="rId983" display="http://www.land.gov.il/TozaotMichrazim/resultsDetailed.aspx?id=82889&amp;rc=988&amp;tr=1693"/>
    <hyperlink ref="Q1050" r:id="rId984" display="http://www.land.gov.il/TozaotMichrazim/resultsDetailed.aspx?id=82890&amp;rc=989&amp;tr=1693"/>
    <hyperlink ref="Q1051" r:id="rId985" display="http://www.land.gov.il/TozaotMichrazim/resultsDetailed.aspx?id=82891&amp;rc=990&amp;tr=1693"/>
    <hyperlink ref="Q1027" r:id="rId986" display="http://www.land.gov.il/TozaotMichrazim/resultsDetailed.aspx?id=82892&amp;rc=991&amp;tr=1693"/>
    <hyperlink ref="Q983" r:id="rId987" display="http://www.land.gov.il/TozaotMichrazim/resultsDetailed.aspx?id=82893&amp;rc=992&amp;tr=1693"/>
    <hyperlink ref="Q661" r:id="rId988" display="http://www.land.gov.il/TozaotMichrazim/resultsDetailed.aspx?id=82894&amp;rc=993&amp;tr=1693"/>
    <hyperlink ref="Q722" r:id="rId989" display="http://www.land.gov.il/TozaotMichrazim/resultsDetailed.aspx?id=82895&amp;rc=994&amp;tr=1693"/>
    <hyperlink ref="Q750" r:id="rId990" display="http://www.land.gov.il/TozaotMichrazim/resultsDetailed.aspx?id=82897&amp;rc=996&amp;tr=1693"/>
    <hyperlink ref="Q867" r:id="rId991" display="http://www.land.gov.il/TozaotMichrazim/resultsDetailed.aspx?id=82898&amp;rc=997&amp;tr=1693"/>
    <hyperlink ref="Q1049" r:id="rId992" display="http://www.land.gov.il/TozaotMichrazim/resultsDetailed.aspx?id=82899&amp;rc=998&amp;tr=1693"/>
    <hyperlink ref="Q317" r:id="rId993" display="http://www.land.gov.il/TozaotMichrazim/resultsDetailed.aspx?id=82900&amp;rc=999&amp;tr=1693"/>
    <hyperlink ref="Q627" r:id="rId994" display="http://www.land.gov.il/TozaotMichrazim/resultsDetailed.aspx?id=82903&amp;rc=1002&amp;tr=1693"/>
    <hyperlink ref="Q836" r:id="rId995" display="http://www.land.gov.il/TozaotMichrazim/resultsDetailed.aspx?id=82904&amp;rc=1003&amp;tr=1693"/>
    <hyperlink ref="Q477" r:id="rId996" display="http://www.land.gov.il/TozaotMichrazim/resultsDetailed.aspx?id=82905&amp;rc=1004&amp;tr=1693"/>
    <hyperlink ref="Q1097" r:id="rId997" display="http://www.land.gov.il/TozaotMichrazim/resultsDetailed.aspx?id=82906&amp;rc=1005&amp;tr=1693"/>
    <hyperlink ref="Q755" r:id="rId998" display="http://www.land.gov.il/TozaotMichrazim/resultsDetailed.aspx?id=82907&amp;rc=1006&amp;tr=1693"/>
    <hyperlink ref="Q669" r:id="rId999" display="http://www.land.gov.il/TozaotMichrazim/resultsDetailed.aspx?id=82908&amp;rc=1007&amp;tr=1693"/>
    <hyperlink ref="Q587" r:id="rId1000" display="http://www.land.gov.il/TozaotMichrazim/resultsDetailed.aspx?id=82909&amp;rc=1008&amp;tr=1693"/>
    <hyperlink ref="Q935" r:id="rId1001" display="http://www.land.gov.il/TozaotMichrazim/resultsDetailed.aspx?id=82910&amp;rc=1009&amp;tr=1693"/>
    <hyperlink ref="Q1203" r:id="rId1002" display="http://www.land.gov.il/TozaotMichrazim/resultsDetailed.aspx?id=82911&amp;rc=1010&amp;tr=1693"/>
    <hyperlink ref="Q1026" r:id="rId1003" display="http://www.land.gov.il/TozaotMichrazim/resultsDetailed.aspx?id=82913&amp;rc=1012&amp;tr=1693"/>
    <hyperlink ref="Q909" r:id="rId1004" display="http://www.land.gov.il/TozaotMichrazim/resultsDetailed.aspx?id=82914&amp;rc=1013&amp;tr=1693"/>
    <hyperlink ref="Q629" r:id="rId1005" display="http://www.land.gov.il/TozaotMichrazim/resultsDetailed.aspx?id=82915&amp;rc=1014&amp;tr=1693"/>
    <hyperlink ref="Q568" r:id="rId1006" display="http://www.land.gov.il/TozaotMichrazim/resultsDetailed.aspx?id=82916&amp;rc=1015&amp;tr=1693"/>
    <hyperlink ref="Q323" r:id="rId1007" display="http://www.land.gov.il/TozaotMichrazim/resultsDetailed.aspx?id=82917&amp;rc=1016&amp;tr=1693"/>
    <hyperlink ref="Q946" r:id="rId1008" display="http://www.land.gov.il/TozaotMichrazim/resultsDetailed.aspx?id=82918&amp;rc=1017&amp;tr=1693"/>
    <hyperlink ref="Q427" r:id="rId1009" display="http://www.land.gov.il/TozaotMichrazim/resultsDetailed.aspx?id=82919&amp;rc=1018&amp;tr=1693"/>
    <hyperlink ref="Q1044" r:id="rId1010" display="http://www.land.gov.il/TozaotMichrazim/resultsDetailed.aspx?id=82920&amp;rc=1019&amp;tr=1693"/>
    <hyperlink ref="Q414" r:id="rId1011" display="http://www.land.gov.il/TozaotMichrazim/resultsDetailed.aspx?id=82921&amp;rc=1020&amp;tr=1693"/>
    <hyperlink ref="Q1095" r:id="rId1012" display="http://www.land.gov.il/TozaotMichrazim/resultsDetailed.aspx?id=82922&amp;rc=1021&amp;tr=1693"/>
    <hyperlink ref="Q1001" r:id="rId1013" display="http://www.land.gov.il/TozaotMichrazim/resultsDetailed.aspx?id=82923&amp;rc=1022&amp;tr=1693"/>
    <hyperlink ref="Q802" r:id="rId1014" display="http://www.land.gov.il/TozaotMichrazim/resultsDetailed.aspx?id=82924&amp;rc=1023&amp;tr=1693"/>
    <hyperlink ref="Q767" r:id="rId1015" display="http://www.land.gov.il/TozaotMichrazim/resultsDetailed.aspx?id=82926&amp;rc=1025&amp;tr=1693"/>
    <hyperlink ref="Q1127" r:id="rId1016" display="http://www.land.gov.il/TozaotMichrazim/resultsDetailed.aspx?id=82927&amp;rc=1026&amp;tr=1693"/>
    <hyperlink ref="Q846" r:id="rId1017" display="http://www.land.gov.il/TozaotMichrazim/resultsDetailed.aspx?id=82928&amp;rc=1027&amp;tr=1693"/>
    <hyperlink ref="Q756" r:id="rId1018" display="http://www.land.gov.il/TozaotMichrazim/resultsDetailed.aspx?id=82929&amp;rc=1028&amp;tr=1693"/>
    <hyperlink ref="Q941" r:id="rId1019" display="http://www.land.gov.il/TozaotMichrazim/resultsDetailed.aspx?id=82930&amp;rc=1029&amp;tr=1693"/>
    <hyperlink ref="Q315" r:id="rId1020" display="http://www.land.gov.il/TozaotMichrazim/resultsDetailed.aspx?id=82931&amp;rc=1030&amp;tr=1693"/>
    <hyperlink ref="Q1057" r:id="rId1021" display="http://www.land.gov.il/TozaotMichrazim/resultsDetailed.aspx?id=82932&amp;rc=1031&amp;tr=1693"/>
    <hyperlink ref="Q745" r:id="rId1022" display="http://www.land.gov.il/TozaotMichrazim/resultsDetailed.aspx?id=82933&amp;rc=1032&amp;tr=1693"/>
    <hyperlink ref="Q481" r:id="rId1023" display="http://www.land.gov.il/TozaotMichrazim/resultsDetailed.aspx?id=82935&amp;rc=1034&amp;tr=1693"/>
    <hyperlink ref="Q1126" r:id="rId1024" display="http://www.land.gov.il/TozaotMichrazim/resultsDetailed.aspx?id=82936&amp;rc=1035&amp;tr=1693"/>
    <hyperlink ref="Q1078" r:id="rId1025" display="http://www.land.gov.il/TozaotMichrazim/resultsDetailed.aspx?id=82937&amp;rc=1036&amp;tr=1693"/>
    <hyperlink ref="Q1079" r:id="rId1026" display="http://www.land.gov.il/TozaotMichrazim/resultsDetailed.aspx?id=82938&amp;rc=1037&amp;tr=1693"/>
    <hyperlink ref="Q728" r:id="rId1027" display="http://www.land.gov.il/TozaotMichrazim/resultsDetailed.aspx?id=82939&amp;rc=1038&amp;tr=1693"/>
    <hyperlink ref="Q1033" r:id="rId1028" display="http://www.land.gov.il/TozaotMichrazim/resultsDetailed.aspx?id=82940&amp;rc=1039&amp;tr=1693"/>
    <hyperlink ref="Q548" r:id="rId1029" display="http://www.land.gov.il/TozaotMichrazim/resultsDetailed.aspx?id=82941&amp;rc=1040&amp;tr=1693"/>
    <hyperlink ref="Q1193" r:id="rId1030" display="http://www.land.gov.il/TozaotMichrazim/resultsDetailed.aspx?id=82942&amp;rc=1041&amp;tr=1693"/>
    <hyperlink ref="Q948" r:id="rId1031" display="http://www.land.gov.il/TozaotMichrazim/resultsDetailed.aspx?id=82943&amp;rc=1042&amp;tr=1693"/>
    <hyperlink ref="Q1222" r:id="rId1032" display="http://www.land.gov.il/TozaotMichrazim/resultsDetailed.aspx?id=82945&amp;rc=1044&amp;tr=1693"/>
    <hyperlink ref="Q281" r:id="rId1033" display="http://www.land.gov.il/TozaotMichrazim/resultsDetailed.aspx?id=82946&amp;rc=1045&amp;tr=1693"/>
    <hyperlink ref="Q1178" r:id="rId1034" display="http://www.land.gov.il/TozaotMichrazim/resultsDetailed.aspx?id=82947&amp;rc=1046&amp;tr=1693"/>
    <hyperlink ref="Q528" r:id="rId1035" display="http://www.land.gov.il/TozaotMichrazim/resultsDetailed.aspx?id=82949&amp;rc=1048&amp;tr=1693"/>
    <hyperlink ref="Q198" r:id="rId1036" display="http://www.land.gov.il/TozaotMichrazim/resultsDetailed.aspx?id=82950&amp;rc=1049&amp;tr=1693"/>
    <hyperlink ref="Q776" r:id="rId1037" display="http://www.land.gov.il/TozaotMichrazim/resultsDetailed.aspx?id=82951&amp;rc=1050&amp;tr=1693"/>
    <hyperlink ref="Q790" r:id="rId1038" display="http://www.land.gov.il/TozaotMichrazim/resultsDetailed.aspx?id=82952&amp;rc=1051&amp;tr=1693"/>
    <hyperlink ref="Q209" r:id="rId1039" display="http://www.land.gov.il/TozaotMichrazim/resultsDetailed.aspx?id=82955&amp;rc=1054&amp;tr=1693"/>
    <hyperlink ref="Q631" r:id="rId1040" display="http://www.land.gov.il/TozaotMichrazim/resultsDetailed.aspx?id=82956&amp;rc=1055&amp;tr=1693"/>
    <hyperlink ref="Q612" r:id="rId1041" display="http://www.land.gov.il/TozaotMichrazim/resultsDetailed.aspx?id=82957&amp;rc=1056&amp;tr=1693"/>
    <hyperlink ref="Q496" r:id="rId1042" display="http://www.land.gov.il/TozaotMichrazim/resultsDetailed.aspx?id=82958&amp;rc=1057&amp;tr=1693"/>
    <hyperlink ref="Q823" r:id="rId1043" display="http://www.land.gov.il/TozaotMichrazim/resultsDetailed.aspx?id=82959&amp;rc=1058&amp;tr=1693"/>
    <hyperlink ref="Q246" r:id="rId1044" display="http://www.land.gov.il/TozaotMichrazim/resultsDetailed.aspx?id=82960&amp;rc=1059&amp;tr=1693"/>
    <hyperlink ref="Q1116" r:id="rId1045" display="http://www.land.gov.il/TozaotMichrazim/resultsDetailed.aspx?id=82961&amp;rc=1060&amp;tr=1693"/>
    <hyperlink ref="Q268" r:id="rId1046" display="http://www.land.gov.il/TozaotMichrazim/resultsDetailed.aspx?id=82962&amp;rc=1061&amp;tr=1693"/>
    <hyperlink ref="Q667" r:id="rId1047" display="http://www.land.gov.il/TozaotMichrazim/resultsDetailed.aspx?id=82963&amp;rc=1062&amp;tr=1693"/>
    <hyperlink ref="Q415" r:id="rId1048" display="http://www.land.gov.il/TozaotMichrazim/resultsDetailed.aspx?id=82964&amp;rc=1063&amp;tr=1693"/>
    <hyperlink ref="Q668" r:id="rId1049" display="http://www.land.gov.il/TozaotMichrazim/resultsDetailed.aspx?id=82965&amp;rc=1064&amp;tr=1693"/>
    <hyperlink ref="Q709" r:id="rId1050" display="http://www.land.gov.il/TozaotMichrazim/resultsDetailed.aspx?id=82966&amp;rc=1065&amp;tr=1693"/>
    <hyperlink ref="Q527" r:id="rId1051" display="http://www.land.gov.il/TozaotMichrazim/resultsDetailed.aspx?id=82967&amp;rc=1066&amp;tr=1693"/>
    <hyperlink ref="Q385" r:id="rId1052" display="http://www.land.gov.il/TozaotMichrazim/resultsDetailed.aspx?id=82969&amp;rc=1068&amp;tr=1693"/>
    <hyperlink ref="Q786" r:id="rId1053" display="http://www.land.gov.il/TozaotMichrazim/resultsDetailed.aspx?id=82970&amp;rc=1069&amp;tr=1693"/>
    <hyperlink ref="Q412" r:id="rId1054" display="http://www.land.gov.il/TozaotMichrazim/resultsDetailed.aspx?id=82972&amp;rc=1071&amp;tr=1693"/>
    <hyperlink ref="Q659" r:id="rId1055" display="http://www.land.gov.il/TozaotMichrazim/resultsDetailed.aspx?id=82973&amp;rc=1072&amp;tr=1693"/>
    <hyperlink ref="Q233" r:id="rId1056" display="http://www.land.gov.il/TozaotMichrazim/resultsDetailed.aspx?id=82975&amp;rc=1074&amp;tr=1693"/>
    <hyperlink ref="Q656" r:id="rId1057" display="http://www.land.gov.il/TozaotMichrazim/resultsDetailed.aspx?id=82976&amp;rc=1075&amp;tr=1693"/>
    <hyperlink ref="Q309" r:id="rId1058" display="http://www.land.gov.il/TozaotMichrazim/resultsDetailed.aspx?id=82978&amp;rc=1077&amp;tr=1693"/>
    <hyperlink ref="Q816" r:id="rId1059" display="http://www.land.gov.il/TozaotMichrazim/resultsDetailed.aspx?id=82979&amp;rc=1078&amp;tr=1693"/>
    <hyperlink ref="Q341" r:id="rId1060" display="http://www.land.gov.il/TozaotMichrazim/resultsDetailed.aspx?id=82980&amp;rc=1079&amp;tr=1693"/>
    <hyperlink ref="Q581" r:id="rId1061" display="http://www.land.gov.il/TozaotMichrazim/resultsDetailed.aspx?id=82981&amp;rc=1080&amp;tr=1693"/>
    <hyperlink ref="Q547" r:id="rId1062" display="http://www.land.gov.il/TozaotMichrazim/resultsDetailed.aspx?id=82983&amp;rc=1082&amp;tr=1693"/>
    <hyperlink ref="Q976" r:id="rId1063" display="http://www.land.gov.il/TozaotMichrazim/resultsDetailed.aspx?id=82984&amp;rc=1083&amp;tr=1693"/>
    <hyperlink ref="Q1194" r:id="rId1064" display="http://www.land.gov.il/TozaotMichrazim/resultsDetailed.aspx?id=82985&amp;rc=1084&amp;tr=1693"/>
    <hyperlink ref="Q576" r:id="rId1065" display="http://www.land.gov.il/TozaotMichrazim/resultsDetailed.aspx?id=82986&amp;rc=1085&amp;tr=1693"/>
    <hyperlink ref="Q641" r:id="rId1066" display="http://www.land.gov.il/TozaotMichrazim/resultsDetailed.aspx?id=82987&amp;rc=1086&amp;tr=1693"/>
    <hyperlink ref="Q330" r:id="rId1067" display="http://www.land.gov.il/TozaotMichrazim/resultsDetailed.aspx?id=82989&amp;rc=1088&amp;tr=1693"/>
    <hyperlink ref="Q1129" r:id="rId1068" display="http://www.land.gov.il/TozaotMichrazim/resultsDetailed.aspx?id=82990&amp;rc=1089&amp;tr=1693"/>
    <hyperlink ref="Q1175" r:id="rId1069" display="http://www.land.gov.il/TozaotMichrazim/resultsDetailed.aspx?id=82991&amp;rc=1090&amp;tr=1693"/>
    <hyperlink ref="Q779" r:id="rId1070" display="http://www.land.gov.il/TozaotMichrazim/resultsDetailed.aspx?id=82992&amp;rc=1091&amp;tr=1693"/>
    <hyperlink ref="Q226" r:id="rId1071" display="http://www.land.gov.il/TozaotMichrazim/resultsDetailed.aspx?id=82993&amp;rc=1092&amp;tr=1693"/>
    <hyperlink ref="Q334" r:id="rId1072" display="http://www.land.gov.il/TozaotMichrazim/resultsDetailed.aspx?id=82996&amp;rc=1095&amp;tr=1693"/>
    <hyperlink ref="Q810" r:id="rId1073" display="http://www.land.gov.il/TozaotMichrazim/resultsDetailed.aspx?id=82997&amp;rc=1096&amp;tr=1693"/>
    <hyperlink ref="Q376" r:id="rId1074" display="http://www.land.gov.il/TozaotMichrazim/resultsDetailed.aspx?id=82998&amp;rc=1097&amp;tr=1693"/>
    <hyperlink ref="Q670" r:id="rId1075" display="http://www.land.gov.il/TozaotMichrazim/resultsDetailed.aspx?id=83000&amp;rc=1099&amp;tr=1693"/>
    <hyperlink ref="Q566" r:id="rId1076" display="http://www.land.gov.il/TozaotMichrazim/resultsDetailed.aspx?id=83001&amp;rc=1100&amp;tr=1693"/>
    <hyperlink ref="Q956" r:id="rId1077" display="http://www.land.gov.il/TozaotMichrazim/resultsDetailed.aspx?id=83003&amp;rc=1102&amp;tr=1693"/>
    <hyperlink ref="Q747" r:id="rId1078" display="http://www.land.gov.il/TozaotMichrazim/resultsDetailed.aspx?id=83004&amp;rc=1103&amp;tr=1693"/>
    <hyperlink ref="Q494" r:id="rId1079" display="http://www.land.gov.il/TozaotMichrazim/resultsDetailed.aspx?id=83005&amp;rc=1104&amp;tr=1693"/>
    <hyperlink ref="Q447" r:id="rId1080" display="http://www.land.gov.il/TozaotMichrazim/resultsDetailed.aspx?id=83007&amp;rc=1106&amp;tr=1693"/>
    <hyperlink ref="Q1198" r:id="rId1081" display="http://www.land.gov.il/TozaotMichrazim/resultsDetailed.aspx?id=83009&amp;rc=1108&amp;tr=1693"/>
    <hyperlink ref="Q255" r:id="rId1082" display="http://www.land.gov.il/TozaotMichrazim/resultsDetailed.aspx?id=83010&amp;rc=1109&amp;tr=1693"/>
    <hyperlink ref="Q746" r:id="rId1083" display="http://www.land.gov.il/TozaotMichrazim/resultsDetailed.aspx?id=83011&amp;rc=1110&amp;tr=1693"/>
    <hyperlink ref="Q1183" r:id="rId1084" display="http://www.land.gov.il/TozaotMichrazim/resultsDetailed.aspx?id=83012&amp;rc=1111&amp;tr=1693"/>
    <hyperlink ref="Q498" r:id="rId1085" display="http://www.land.gov.il/TozaotMichrazim/resultsDetailed.aspx?id=83013&amp;rc=1112&amp;tr=1693"/>
    <hyperlink ref="Q1199" r:id="rId1086" display="http://www.land.gov.il/TozaotMichrazim/resultsDetailed.aspx?id=83014&amp;rc=1113&amp;tr=1693"/>
    <hyperlink ref="Q865" r:id="rId1087" display="http://www.land.gov.il/TozaotMichrazim/resultsDetailed.aspx?id=83015&amp;rc=1114&amp;tr=1693"/>
    <hyperlink ref="Q913" r:id="rId1088" display="http://www.land.gov.il/TozaotMichrazim/resultsDetailed.aspx?id=83016&amp;rc=1115&amp;tr=1693"/>
    <hyperlink ref="Q886" r:id="rId1089" display="http://www.land.gov.il/TozaotMichrazim/resultsDetailed.aspx?id=83017&amp;rc=1116&amp;tr=1693"/>
    <hyperlink ref="Q838" r:id="rId1090" display="http://www.land.gov.il/TozaotMichrazim/resultsDetailed.aspx?id=83018&amp;rc=1117&amp;tr=1693"/>
    <hyperlink ref="Q1102" r:id="rId1091" display="http://www.land.gov.il/TozaotMichrazim/resultsDetailed.aspx?id=83019&amp;rc=1118&amp;tr=1693"/>
    <hyperlink ref="Q868" r:id="rId1092" display="http://www.land.gov.il/TozaotMichrazim/resultsDetailed.aspx?id=83020&amp;rc=1119&amp;tr=1693"/>
    <hyperlink ref="Q1149" r:id="rId1093" display="http://www.land.gov.il/TozaotMichrazim/resultsDetailed.aspx?id=83021&amp;rc=1120&amp;tr=1693"/>
    <hyperlink ref="Q718" r:id="rId1094" display="http://www.land.gov.il/TozaotMichrazim/resultsDetailed.aspx?id=83022&amp;rc=1121&amp;tr=1693"/>
    <hyperlink ref="Q373" r:id="rId1095" display="http://www.land.gov.il/TozaotMichrazim/resultsDetailed.aspx?id=83023&amp;rc=1122&amp;tr=1693"/>
    <hyperlink ref="Q536" r:id="rId1096" display="http://www.land.gov.il/TozaotMichrazim/resultsDetailed.aspx?id=83024&amp;rc=1123&amp;tr=1693"/>
    <hyperlink ref="Q985" r:id="rId1097" display="http://www.land.gov.il/TozaotMichrazim/resultsDetailed.aspx?id=83025&amp;rc=1124&amp;tr=1693"/>
    <hyperlink ref="Q676" r:id="rId1098" display="http://www.land.gov.il/TozaotMichrazim/resultsDetailed.aspx?id=83026&amp;rc=1125&amp;tr=1693"/>
    <hyperlink ref="Q748" r:id="rId1099" display="http://www.land.gov.il/TozaotMichrazim/resultsDetailed.aspx?id=83027&amp;rc=1126&amp;tr=1693"/>
    <hyperlink ref="Q1153" r:id="rId1100" display="http://www.land.gov.il/TozaotMichrazim/resultsDetailed.aspx?id=83028&amp;rc=1127&amp;tr=1693"/>
    <hyperlink ref="Q449" r:id="rId1101" display="http://www.land.gov.il/TozaotMichrazim/resultsDetailed.aspx?id=83029&amp;rc=1128&amp;tr=1693"/>
    <hyperlink ref="Q1132" r:id="rId1102" display="http://www.land.gov.il/TozaotMichrazim/resultsDetailed.aspx?id=83030&amp;rc=1129&amp;tr=1693"/>
    <hyperlink ref="Q503" r:id="rId1103" display="http://www.land.gov.il/TozaotMichrazim/resultsDetailed.aspx?id=83032&amp;rc=1131&amp;tr=1693"/>
    <hyperlink ref="Q1076" r:id="rId1104" display="http://www.land.gov.il/TozaotMichrazim/resultsDetailed.aspx?id=83034&amp;rc=1133&amp;tr=1693"/>
    <hyperlink ref="Q1154" r:id="rId1105" display="http://www.land.gov.il/TozaotMichrazim/resultsDetailed.aspx?id=83035&amp;rc=1134&amp;tr=1693"/>
    <hyperlink ref="Q1145" r:id="rId1106" display="http://www.land.gov.il/TozaotMichrazim/resultsDetailed.aspx?id=83036&amp;rc=1135&amp;tr=1693"/>
    <hyperlink ref="Q968" r:id="rId1107" display="http://www.land.gov.il/TozaotMichrazim/resultsDetailed.aspx?id=83037&amp;rc=1136&amp;tr=1693"/>
    <hyperlink ref="Q1088" r:id="rId1108" display="http://www.land.gov.il/TozaotMichrazim/resultsDetailed.aspx?id=83038&amp;rc=1137&amp;tr=1693"/>
    <hyperlink ref="Q1120" r:id="rId1109" display="http://www.land.gov.il/TozaotMichrazim/resultsDetailed.aspx?id=83039&amp;rc=1138&amp;tr=1693"/>
    <hyperlink ref="Q766" r:id="rId1110" display="http://www.land.gov.il/TozaotMichrazim/resultsDetailed.aspx?id=83040&amp;rc=1139&amp;tr=1693"/>
    <hyperlink ref="Q1181" r:id="rId1111" display="http://www.land.gov.il/TozaotMichrazim/resultsDetailed.aspx?id=83041&amp;rc=1140&amp;tr=1693"/>
    <hyperlink ref="Q1077" r:id="rId1112" display="http://www.land.gov.il/TozaotMichrazim/resultsDetailed.aspx?id=83042&amp;rc=1141&amp;tr=1693"/>
    <hyperlink ref="Q1207" r:id="rId1113" display="http://www.land.gov.il/TozaotMichrazim/resultsDetailed.aspx?id=83043&amp;rc=1142&amp;tr=1693"/>
    <hyperlink ref="Q1182" r:id="rId1114" display="http://www.land.gov.il/TozaotMichrazim/resultsDetailed.aspx?id=83044&amp;rc=1143&amp;tr=1693"/>
    <hyperlink ref="Q1169" r:id="rId1115" display="http://www.land.gov.il/TozaotMichrazim/resultsDetailed.aspx?id=83045&amp;rc=1144&amp;tr=1693"/>
    <hyperlink ref="Q864" r:id="rId1116" display="http://www.land.gov.il/TozaotMichrazim/resultsDetailed.aspx?id=83046&amp;rc=1145&amp;tr=1693"/>
    <hyperlink ref="Q1137" r:id="rId1117" display="http://www.land.gov.il/TozaotMichrazim/resultsDetailed.aspx?id=83047&amp;rc=1146&amp;tr=1693"/>
    <hyperlink ref="Q1232" r:id="rId1118" display="http://www.land.gov.il/TozaotMichrazim/resultsDetailed.aspx?id=83049&amp;rc=1148&amp;tr=1693"/>
    <hyperlink ref="Q1215" r:id="rId1119" display="http://www.land.gov.il/TozaotMichrazim/resultsDetailed.aspx?id=83050&amp;rc=1149&amp;tr=1693"/>
    <hyperlink ref="Q242" r:id="rId1120" display="http://www.land.gov.il/TozaotMichrazim/resultsDetailed.aspx?id=83051&amp;rc=1150&amp;tr=1693"/>
    <hyperlink ref="Q788" r:id="rId1121" display="http://www.land.gov.il/TozaotMichrazim/resultsDetailed.aspx?id=83052&amp;rc=1151&amp;tr=1693"/>
    <hyperlink ref="Q1113" r:id="rId1122" display="http://www.land.gov.il/TozaotMichrazim/resultsDetailed.aspx?id=83053&amp;rc=1152&amp;tr=1693"/>
    <hyperlink ref="Q1177" r:id="rId1123" display="http://www.land.gov.il/TozaotMichrazim/resultsDetailed.aspx?id=83054&amp;rc=1153&amp;tr=1693"/>
    <hyperlink ref="Q1075" r:id="rId1124" display="http://www.land.gov.il/TozaotMichrazim/resultsDetailed.aspx?id=83055&amp;rc=1154&amp;tr=1693"/>
    <hyperlink ref="Q691" r:id="rId1125" display="http://www.land.gov.il/TozaotMichrazim/resultsDetailed.aspx?id=83056&amp;rc=1155&amp;tr=1693"/>
    <hyperlink ref="Q1226" r:id="rId1126" display="http://www.land.gov.il/TozaotMichrazim/resultsDetailed.aspx?id=83057&amp;rc=1156&amp;tr=1693"/>
    <hyperlink ref="Q1185" r:id="rId1127" display="http://www.land.gov.il/TozaotMichrazim/resultsDetailed.aspx?id=83058&amp;rc=1157&amp;tr=1693"/>
    <hyperlink ref="Q1002" r:id="rId1128" display="http://www.land.gov.il/TozaotMichrazim/resultsDetailed.aspx?id=83059&amp;rc=1158&amp;tr=1693"/>
    <hyperlink ref="Q1042" r:id="rId1129" display="http://www.land.gov.il/TozaotMichrazim/resultsDetailed.aspx?id=83060&amp;rc=1159&amp;tr=1693"/>
    <hyperlink ref="Q803" r:id="rId1130" display="http://www.land.gov.il/TozaotMichrazim/resultsDetailed.aspx?id=83061&amp;rc=1160&amp;tr=1693"/>
    <hyperlink ref="Q917" r:id="rId1131" display="http://www.land.gov.il/TozaotMichrazim/resultsDetailed.aspx?id=83062&amp;rc=1161&amp;tr=1693"/>
    <hyperlink ref="Q1081" r:id="rId1132" display="http://www.land.gov.il/TozaotMichrazim/resultsDetailed.aspx?id=83063&amp;rc=1162&amp;tr=1693"/>
    <hyperlink ref="Q1100" r:id="rId1133" display="http://www.land.gov.il/TozaotMichrazim/resultsDetailed.aspx?id=83064&amp;rc=1163&amp;tr=1693"/>
    <hyperlink ref="Q934" r:id="rId1134" display="http://www.land.gov.il/TozaotMichrazim/resultsDetailed.aspx?id=83065&amp;rc=1164&amp;tr=1693"/>
    <hyperlink ref="Q1187" r:id="rId1135" display="http://www.land.gov.il/TozaotMichrazim/resultsDetailed.aspx?id=83068&amp;rc=1167&amp;tr=1693"/>
    <hyperlink ref="Q1015" r:id="rId1136" display="http://www.land.gov.il/TozaotMichrazim/resultsDetailed.aspx?id=83069&amp;rc=1168&amp;tr=1693"/>
    <hyperlink ref="Q689" r:id="rId1137" display="http://www.land.gov.il/TozaotMichrazim/resultsDetailed.aspx?id=83070&amp;rc=1169&amp;tr=1693"/>
    <hyperlink ref="Q1082" r:id="rId1138" display="http://www.land.gov.il/TozaotMichrazim/resultsDetailed.aspx?id=83071&amp;rc=1170&amp;tr=1693"/>
    <hyperlink ref="Q1217" r:id="rId1139" display="http://www.land.gov.il/TozaotMichrazim/resultsDetailed.aspx?id=83072&amp;rc=1171&amp;tr=1693"/>
    <hyperlink ref="Q774" r:id="rId1140" display="http://www.land.gov.il/TozaotMichrazim/resultsDetailed.aspx?id=83073&amp;rc=1172&amp;tr=1693"/>
    <hyperlink ref="Q877" r:id="rId1141" display="http://www.land.gov.il/TozaotMichrazim/resultsDetailed.aspx?id=83074&amp;rc=1173&amp;tr=1693"/>
    <hyperlink ref="Q590" r:id="rId1142" display="http://www.land.gov.il/TozaotMichrazim/resultsDetailed.aspx?id=83075&amp;rc=1174&amp;tr=1693"/>
    <hyperlink ref="Q1030" r:id="rId1143" display="http://www.land.gov.il/TozaotMichrazim/resultsDetailed.aspx?id=83076&amp;rc=1175&amp;tr=1693"/>
    <hyperlink ref="Q1107" r:id="rId1144" display="http://www.land.gov.il/TozaotMichrazim/resultsDetailed.aspx?id=83077&amp;rc=1176&amp;tr=1693"/>
    <hyperlink ref="Q700" r:id="rId1145" display="http://www.land.gov.il/TozaotMichrazim/resultsDetailed.aspx?id=83078&amp;rc=1177&amp;tr=1693"/>
    <hyperlink ref="Q950" r:id="rId1146" display="http://www.land.gov.il/TozaotMichrazim/resultsDetailed.aspx?id=83079&amp;rc=1178&amp;tr=1693"/>
    <hyperlink ref="Q675" r:id="rId1147" display="http://www.land.gov.il/TozaotMichrazim/resultsDetailed.aspx?id=83080&amp;rc=1179&amp;tr=1693"/>
    <hyperlink ref="Q1103" r:id="rId1148" display="http://www.land.gov.il/TozaotMichrazim/resultsDetailed.aspx?id=83081&amp;rc=1180&amp;tr=1693"/>
    <hyperlink ref="Q640" r:id="rId1149" display="http://www.land.gov.il/TozaotMichrazim/resultsDetailed.aspx?id=83082&amp;rc=1181&amp;tr=1693"/>
    <hyperlink ref="Q614" r:id="rId1150" display="http://www.land.gov.il/TozaotMichrazim/resultsDetailed.aspx?id=83083&amp;rc=1182&amp;tr=1693"/>
    <hyperlink ref="Q231" r:id="rId1151" display="http://www.land.gov.il/TozaotMichrazim/resultsDetailed.aspx?id=83086&amp;rc=1185&amp;tr=1693"/>
    <hyperlink ref="Q678" r:id="rId1152" display="http://www.land.gov.il/TozaotMichrazim/resultsDetailed.aspx?id=83087&amp;rc=1186&amp;tr=1693"/>
    <hyperlink ref="Q582" r:id="rId1153" display="http://www.land.gov.il/TozaotMichrazim/resultsDetailed.aspx?id=83088&amp;rc=1187&amp;tr=1693"/>
    <hyperlink ref="Q1155" r:id="rId1154" display="http://www.land.gov.il/TozaotMichrazim/resultsDetailed.aspx?id=83089&amp;rc=1188&amp;tr=1693"/>
    <hyperlink ref="Q866" r:id="rId1155" display="http://www.land.gov.il/TozaotMichrazim/resultsDetailed.aspx?id=83090&amp;rc=1189&amp;tr=1693"/>
    <hyperlink ref="Q1067" r:id="rId1156" display="http://www.land.gov.il/TozaotMichrazim/resultsDetailed.aspx?id=83092&amp;rc=1191&amp;tr=1693"/>
    <hyperlink ref="Q1032" r:id="rId1157" display="http://www.land.gov.il/TozaotMichrazim/resultsDetailed.aspx?id=83093&amp;rc=1192&amp;tr=1693"/>
    <hyperlink ref="Q699" r:id="rId1158" display="http://www.land.gov.il/TozaotMichrazim/resultsDetailed.aspx?id=83094&amp;rc=1193&amp;tr=1693"/>
    <hyperlink ref="Q1035" r:id="rId1159" display="http://www.land.gov.il/TozaotMichrazim/resultsDetailed.aspx?id=83095&amp;rc=1194&amp;tr=1693"/>
    <hyperlink ref="Q384" r:id="rId1160" display="http://www.land.gov.il/TozaotMichrazim/resultsDetailed.aspx?id=83096&amp;rc=1195&amp;tr=1693"/>
    <hyperlink ref="Q861" r:id="rId1161" display="http://www.land.gov.il/TozaotMichrazim/resultsDetailed.aspx?id=83098&amp;rc=1197&amp;tr=1693"/>
    <hyperlink ref="Q845" r:id="rId1162" display="http://www.land.gov.il/TozaotMichrazim/resultsDetailed.aspx?id=83099&amp;rc=1198&amp;tr=1693"/>
    <hyperlink ref="Q901" r:id="rId1163" display="http://www.land.gov.il/TozaotMichrazim/resultsDetailed.aspx?id=83100&amp;rc=1199&amp;tr=1693"/>
    <hyperlink ref="Q433" r:id="rId1164" display="http://www.land.gov.il/TozaotMichrazim/resultsDetailed.aspx?id=83102&amp;rc=1201&amp;tr=1693"/>
    <hyperlink ref="Q869" r:id="rId1165" display="http://www.land.gov.il/TozaotMichrazim/resultsDetailed.aspx?id=83104&amp;rc=1203&amp;tr=1693"/>
    <hyperlink ref="Q461" r:id="rId1166" display="http://www.land.gov.il/TozaotMichrazim/resultsDetailed.aspx?id=83105&amp;rc=1204&amp;tr=1693"/>
    <hyperlink ref="Q1165" r:id="rId1167" display="http://www.land.gov.il/TozaotMichrazim/resultsDetailed.aspx?id=83106&amp;rc=1205&amp;tr=1693"/>
    <hyperlink ref="Q321" r:id="rId1168" display="http://www.land.gov.il/TozaotMichrazim/resultsDetailed.aspx?id=83107&amp;rc=1206&amp;tr=1693"/>
    <hyperlink ref="Q1167" r:id="rId1169" display="http://www.land.gov.il/TozaotMichrazim/resultsDetailed.aspx?id=83108&amp;rc=1207&amp;tr=1693"/>
    <hyperlink ref="Q1119" r:id="rId1170" display="http://www.land.gov.il/TozaotMichrazim/resultsDetailed.aspx?id=83109&amp;rc=1208&amp;tr=1693"/>
    <hyperlink ref="Q831" r:id="rId1171" display="http://www.land.gov.il/TozaotMichrazim/resultsDetailed.aspx?id=83110&amp;rc=1209&amp;tr=1693"/>
    <hyperlink ref="Q918" r:id="rId1172" display="http://www.land.gov.il/TozaotMichrazim/resultsDetailed.aspx?id=83111&amp;rc=1210&amp;tr=1693"/>
    <hyperlink ref="Q1118" r:id="rId1173" display="http://www.land.gov.il/TozaotMichrazim/resultsDetailed.aspx?id=83112&amp;rc=1211&amp;tr=1693"/>
    <hyperlink ref="Q736" r:id="rId1174" display="http://www.land.gov.il/TozaotMichrazim/resultsDetailed.aspx?id=83113&amp;rc=1212&amp;tr=1693"/>
    <hyperlink ref="Q763" r:id="rId1175" display="http://www.land.gov.il/TozaotMichrazim/resultsDetailed.aspx?id=83114&amp;rc=1213&amp;tr=1693"/>
    <hyperlink ref="Q636" r:id="rId1176" display="http://www.land.gov.il/TozaotMichrazim/resultsDetailed.aspx?id=83115&amp;rc=1214&amp;tr=1693"/>
    <hyperlink ref="Q625" r:id="rId1177" display="http://www.land.gov.il/TozaotMichrazim/resultsDetailed.aspx?id=83116&amp;rc=1215&amp;tr=1693"/>
    <hyperlink ref="Q1104" r:id="rId1178" display="http://www.land.gov.il/TozaotMichrazim/resultsDetailed.aspx?id=83117&amp;rc=1216&amp;tr=1693"/>
    <hyperlink ref="Q635" r:id="rId1179" display="http://www.land.gov.il/TozaotMichrazim/resultsDetailed.aspx?id=83118&amp;rc=1217&amp;tr=1693"/>
    <hyperlink ref="Q1046" r:id="rId1180" display="http://www.land.gov.il/TozaotMichrazim/resultsDetailed.aspx?id=83119&amp;rc=1218&amp;tr=1693"/>
    <hyperlink ref="Q588" r:id="rId1181" display="http://www.land.gov.il/TozaotMichrazim/resultsDetailed.aspx?id=83120&amp;rc=1219&amp;tr=1693"/>
    <hyperlink ref="Q1179" r:id="rId1182" display="http://www.land.gov.il/TozaotMichrazim/resultsDetailed.aspx?id=83121&amp;rc=1220&amp;tr=1693"/>
    <hyperlink ref="Q362" r:id="rId1183" display="http://www.land.gov.il/TozaotMichrazim/resultsDetailed.aspx?id=83122&amp;rc=1221&amp;tr=1693"/>
    <hyperlink ref="Q459" r:id="rId1184" display="http://www.land.gov.il/TozaotMichrazim/resultsDetailed.aspx?id=83123&amp;rc=1222&amp;tr=1693"/>
    <hyperlink ref="Q1180" r:id="rId1185" display="http://www.land.gov.il/TozaotMichrazim/resultsDetailed.aspx?id=83124&amp;rc=1223&amp;tr=1693"/>
    <hyperlink ref="Q1066" r:id="rId1186" display="http://www.land.gov.il/TozaotMichrazim/resultsDetailed.aspx?id=83125&amp;rc=1224&amp;tr=1693"/>
    <hyperlink ref="Q335" r:id="rId1187" display="http://www.land.gov.il/TozaotMichrazim/resultsDetailed.aspx?id=83126&amp;rc=1225&amp;tr=1693"/>
    <hyperlink ref="Q1061" r:id="rId1188" display="http://www.land.gov.il/TozaotMichrazim/resultsDetailed.aspx?id=83127&amp;rc=1226&amp;tr=1693"/>
    <hyperlink ref="Q964" r:id="rId1189" display="http://www.land.gov.il/TozaotMichrazim/resultsDetailed.aspx?id=83128&amp;rc=1227&amp;tr=1693"/>
    <hyperlink ref="Q558" r:id="rId1190" display="http://www.land.gov.il/TozaotMichrazim/resultsDetailed.aspx?id=83129&amp;rc=1228&amp;tr=1693"/>
    <hyperlink ref="Q971" r:id="rId1191" display="http://www.land.gov.il/TozaotMichrazim/resultsDetailed.aspx?id=83130&amp;rc=1229&amp;tr=1693"/>
    <hyperlink ref="Q654" r:id="rId1192" display="http://www.land.gov.il/TozaotMichrazim/resultsDetailed.aspx?id=83132&amp;rc=1231&amp;tr=1693"/>
    <hyperlink ref="Q717" r:id="rId1193" display="http://www.land.gov.il/TozaotMichrazim/resultsDetailed.aspx?id=83133&amp;rc=1232&amp;tr=1693"/>
    <hyperlink ref="Q696" r:id="rId1194" display="http://www.land.gov.il/TozaotMichrazim/resultsDetailed.aspx?id=83134&amp;rc=1233&amp;tr=1693"/>
    <hyperlink ref="Q765" r:id="rId1195" display="http://www.land.gov.il/TozaotMichrazim/resultsDetailed.aspx?id=83135&amp;rc=1234&amp;tr=1693"/>
    <hyperlink ref="Q398" r:id="rId1196" display="http://www.land.gov.il/TozaotMichrazim/resultsDetailed.aspx?id=83136&amp;rc=1235&amp;tr=1693"/>
    <hyperlink ref="Q501" r:id="rId1197" display="http://www.land.gov.il/TozaotMichrazim/resultsDetailed.aspx?id=83137&amp;rc=1236&amp;tr=1693"/>
    <hyperlink ref="Q844" r:id="rId1198" display="http://www.land.gov.il/TozaotMichrazim/resultsDetailed.aspx?id=83138&amp;rc=1237&amp;tr=1693"/>
    <hyperlink ref="Q882" r:id="rId1199" display="http://www.land.gov.il/TozaotMichrazim/resultsDetailed.aspx?id=83139&amp;rc=1238&amp;tr=1693"/>
    <hyperlink ref="Q1111" r:id="rId1200" display="http://www.land.gov.il/TozaotMichrazim/resultsDetailed.aspx?id=83140&amp;rc=1239&amp;tr=1693"/>
    <hyperlink ref="Q1110" r:id="rId1201" display="http://www.land.gov.il/TozaotMichrazim/resultsDetailed.aspx?id=83141&amp;rc=1240&amp;tr=1693"/>
    <hyperlink ref="Q205" r:id="rId1202" display="http://www.land.gov.il/TozaotMichrazim/resultsDetailed.aspx?id=83142&amp;rc=1241&amp;tr=1693"/>
    <hyperlink ref="Q796" r:id="rId1203" display="http://www.land.gov.il/TozaotMichrazim/resultsDetailed.aspx?id=83144&amp;rc=1243&amp;tr=1693"/>
    <hyperlink ref="Q651" r:id="rId1204" display="http://www.land.gov.il/TozaotMichrazim/resultsDetailed.aspx?id=83145&amp;rc=1244&amp;tr=1693"/>
    <hyperlink ref="Q1136" r:id="rId1205" display="http://www.land.gov.il/TozaotMichrazim/resultsDetailed.aspx?id=83146&amp;rc=1245&amp;tr=1693"/>
    <hyperlink ref="Q1087" r:id="rId1206" display="http://www.land.gov.il/TozaotMichrazim/resultsDetailed.aspx?id=83147&amp;rc=1246&amp;tr=1693"/>
    <hyperlink ref="Q1068" r:id="rId1207" display="http://www.land.gov.il/TozaotMichrazim/resultsDetailed.aspx?id=83148&amp;rc=1247&amp;tr=1693"/>
    <hyperlink ref="Q1086" r:id="rId1208" display="http://www.land.gov.il/TozaotMichrazim/resultsDetailed.aspx?id=83149&amp;rc=1248&amp;tr=1693"/>
    <hyperlink ref="Q451" r:id="rId1209" display="http://www.land.gov.il/TozaotMichrazim/resultsDetailed.aspx?id=83150&amp;rc=1249&amp;tr=1693"/>
    <hyperlink ref="Q331" r:id="rId1210" display="http://www.land.gov.il/TozaotMichrazim/resultsDetailed.aspx?id=83151&amp;rc=1250&amp;tr=1693"/>
    <hyperlink ref="Q794" r:id="rId1211" display="http://www.land.gov.il/TozaotMichrazim/resultsDetailed.aspx?id=83152&amp;rc=1251&amp;tr=1693"/>
    <hyperlink ref="Q388" r:id="rId1212" display="http://www.land.gov.il/TozaotMichrazim/resultsDetailed.aspx?id=83154&amp;rc=1253&amp;tr=1693"/>
    <hyperlink ref="Q707" r:id="rId1213" display="http://www.land.gov.il/TozaotMichrazim/resultsDetailed.aspx?id=83155&amp;rc=1254&amp;tr=1693"/>
    <hyperlink ref="Q564" r:id="rId1214" display="http://www.land.gov.il/TozaotMichrazim/resultsDetailed.aspx?id=83156&amp;rc=1255&amp;tr=1693"/>
    <hyperlink ref="Q1170" r:id="rId1215" display="http://www.land.gov.il/TozaotMichrazim/resultsDetailed.aspx?id=83157&amp;rc=1256&amp;tr=1693"/>
    <hyperlink ref="Q441" r:id="rId1216" display="http://www.land.gov.il/TozaotMichrazim/resultsDetailed.aspx?id=83158&amp;rc=1257&amp;tr=1693"/>
    <hyperlink ref="Q1115" r:id="rId1217" display="http://www.land.gov.il/TozaotMichrazim/resultsDetailed.aspx?id=83159&amp;rc=1258&amp;tr=1693"/>
    <hyperlink ref="Q1099" r:id="rId1218" display="http://www.land.gov.il/TozaotMichrazim/resultsDetailed.aspx?id=83160&amp;rc=1259&amp;tr=1693"/>
    <hyperlink ref="Q346" r:id="rId1219" display="http://www.land.gov.il/TozaotMichrazim/resultsDetailed.aspx?id=83166&amp;rc=1265&amp;tr=1693"/>
    <hyperlink ref="Q1018" r:id="rId1220" display="http://www.land.gov.il/TozaotMichrazim/resultsDetailed.aspx?id=83170&amp;rc=1269&amp;tr=1693"/>
    <hyperlink ref="Q225" r:id="rId1221" display="http://www.land.gov.il/TozaotMichrazim/resultsDetailed.aspx?id=83171&amp;rc=1270&amp;tr=1693"/>
    <hyperlink ref="Q364" r:id="rId1222" display="http://www.land.gov.il/TozaotMichrazim/resultsDetailed.aspx?id=83173&amp;rc=1272&amp;tr=1693"/>
    <hyperlink ref="Q411" r:id="rId1223" display="http://www.land.gov.il/TozaotMichrazim/resultsDetailed.aspx?id=83175&amp;rc=1274&amp;tr=1693"/>
    <hyperlink ref="Q905" r:id="rId1224" display="http://www.land.gov.il/TozaotMichrazim/resultsDetailed.aspx?id=83176&amp;rc=1275&amp;tr=1693"/>
    <hyperlink ref="Q442" r:id="rId1225" display="http://www.land.gov.il/TozaotMichrazim/resultsDetailed.aspx?id=83177&amp;rc=1276&amp;tr=1693"/>
    <hyperlink ref="Q611" r:id="rId1226" display="http://www.land.gov.il/TozaotMichrazim/resultsDetailed.aspx?id=83178&amp;rc=1277&amp;tr=1693"/>
    <hyperlink ref="Q919" r:id="rId1227" display="http://www.land.gov.il/TozaotMichrazim/resultsDetailed.aspx?id=83179&amp;rc=1278&amp;tr=1693"/>
    <hyperlink ref="Q470" r:id="rId1228" display="http://www.land.gov.il/TozaotMichrazim/resultsDetailed.aspx?id=83180&amp;rc=1279&amp;tr=1693"/>
    <hyperlink ref="Q443" r:id="rId1229" display="http://www.land.gov.il/TozaotMichrazim/resultsDetailed.aspx?id=83181&amp;rc=1280&amp;tr=1693"/>
    <hyperlink ref="Q515" r:id="rId1230" display="http://www.land.gov.il/TozaotMichrazim/resultsDetailed.aspx?id=83182&amp;rc=1281&amp;tr=1693"/>
    <hyperlink ref="Q516" r:id="rId1231" display="http://www.land.gov.il/TozaotMichrazim/resultsDetailed.aspx?id=83183&amp;rc=1282&amp;tr=1693"/>
    <hyperlink ref="Q987" r:id="rId1232" display="http://www.land.gov.il/TozaotMichrazim/resultsDetailed.aspx?id=83184&amp;rc=1283&amp;tr=1693"/>
    <hyperlink ref="Q887" r:id="rId1233" display="http://www.land.gov.il/TozaotMichrazim/resultsDetailed.aspx?id=83185&amp;rc=1284&amp;tr=1693"/>
    <hyperlink ref="Q685" r:id="rId1234" display="http://www.land.gov.il/TozaotMichrazim/resultsDetailed.aspx?id=83186&amp;rc=1285&amp;tr=1693"/>
    <hyperlink ref="Q1356" r:id="rId1235" display="http://www.land.gov.il/TozaotMichrazim/resultsDetailed.aspx?id=81910&amp;rc=1286&amp;tr=1693"/>
    <hyperlink ref="Q1378" r:id="rId1236" display="http://www.land.gov.il/TozaotMichrazim/resultsDetailed.aspx?id=81804&amp;rc=1287&amp;tr=1693"/>
    <hyperlink ref="Q1357" r:id="rId1237" display="http://www.land.gov.il/TozaotMichrazim/resultsDetailed.aspx?id=80955&amp;rc=1289&amp;tr=1693"/>
    <hyperlink ref="Q1348" r:id="rId1238" display="http://www.land.gov.il/TozaotMichrazim/resultsDetailed.aspx?id=80956&amp;rc=1290&amp;tr=1693"/>
    <hyperlink ref="Q1142" r:id="rId1239" display="http://www.land.gov.il/TozaotMichrazim/resultsDetailed.aspx?id=80204&amp;rc=1291&amp;tr=1693"/>
    <hyperlink ref="Q1381" r:id="rId1240" display="http://www.land.gov.il/TozaotMichrazim/resultsDetailed.aspx?id=80051&amp;rc=1293&amp;tr=1693"/>
    <hyperlink ref="Q1334" r:id="rId1241" display="http://www.land.gov.il/TozaotMichrazim/resultsDetailed.aspx?id=79314&amp;rc=1294&amp;tr=1693"/>
    <hyperlink ref="Q1287" r:id="rId1242" display="http://www.land.gov.il/TozaotMichrazim/resultsDetailed.aspx?id=79315&amp;rc=1295&amp;tr=1693"/>
    <hyperlink ref="Q1311" r:id="rId1243" display="http://www.land.gov.il/TozaotMichrazim/resultsDetailed.aspx?id=79316&amp;rc=1296&amp;tr=1693"/>
    <hyperlink ref="Q1336" r:id="rId1244" display="http://www.land.gov.il/TozaotMichrazim/resultsDetailed.aspx?id=79317&amp;rc=1297&amp;tr=1693"/>
    <hyperlink ref="Q1331" r:id="rId1245" display="http://www.land.gov.il/TozaotMichrazim/resultsDetailed.aspx?id=79318&amp;rc=1298&amp;tr=1693"/>
    <hyperlink ref="Q1329" r:id="rId1246" display="http://www.land.gov.il/TozaotMichrazim/resultsDetailed.aspx?id=79319&amp;rc=1299&amp;tr=1693"/>
    <hyperlink ref="Q1333" r:id="rId1247" display="http://www.land.gov.il/TozaotMichrazim/resultsDetailed.aspx?id=79320&amp;rc=1300&amp;tr=1693"/>
    <hyperlink ref="Q1326" r:id="rId1248" display="http://www.land.gov.il/TozaotMichrazim/resultsDetailed.aspx?id=79321&amp;rc=1301&amp;tr=1693"/>
    <hyperlink ref="Q1300" r:id="rId1249" display="http://www.land.gov.il/TozaotMichrazim/resultsDetailed.aspx?id=79322&amp;rc=1302&amp;tr=1693"/>
    <hyperlink ref="Q1315" r:id="rId1250" display="http://www.land.gov.il/TozaotMichrazim/resultsDetailed.aspx?id=79323&amp;rc=1303&amp;tr=1693"/>
    <hyperlink ref="Q1282" r:id="rId1251" display="http://www.land.gov.il/TozaotMichrazim/resultsDetailed.aspx?id=79324&amp;rc=1304&amp;tr=1693"/>
    <hyperlink ref="Q1321" r:id="rId1252" display="http://www.land.gov.il/TozaotMichrazim/resultsDetailed.aspx?id=79325&amp;rc=1305&amp;tr=1693"/>
    <hyperlink ref="Q1327" r:id="rId1253" display="http://www.land.gov.il/TozaotMichrazim/resultsDetailed.aspx?id=79326&amp;rc=1306&amp;tr=1693"/>
    <hyperlink ref="Q1314" r:id="rId1254" display="http://www.land.gov.il/TozaotMichrazim/resultsDetailed.aspx?id=79327&amp;rc=1307&amp;tr=1693"/>
    <hyperlink ref="Q1295" r:id="rId1255" display="http://www.land.gov.il/TozaotMichrazim/resultsDetailed.aspx?id=79328&amp;rc=1308&amp;tr=1693"/>
    <hyperlink ref="Q1301" r:id="rId1256" display="http://www.land.gov.il/TozaotMichrazim/resultsDetailed.aspx?id=79329&amp;rc=1309&amp;tr=1693"/>
    <hyperlink ref="Q1317" r:id="rId1257" display="http://www.land.gov.il/TozaotMichrazim/resultsDetailed.aspx?id=79330&amp;rc=1310&amp;tr=1693"/>
    <hyperlink ref="Q1283" r:id="rId1258" display="http://www.land.gov.il/TozaotMichrazim/resultsDetailed.aspx?id=79331&amp;rc=1311&amp;tr=1693"/>
    <hyperlink ref="Q1340" r:id="rId1259" display="http://www.land.gov.il/TozaotMichrazim/resultsDetailed.aspx?id=79332&amp;rc=1312&amp;tr=1693"/>
    <hyperlink ref="Q1338" r:id="rId1260" display="http://www.land.gov.il/TozaotMichrazim/resultsDetailed.aspx?id=79333&amp;rc=1313&amp;tr=1693"/>
    <hyperlink ref="Q1323" r:id="rId1261" display="http://www.land.gov.il/TozaotMichrazim/resultsDetailed.aspx?id=79334&amp;rc=1314&amp;tr=1693"/>
    <hyperlink ref="Q1344" r:id="rId1262" display="http://www.land.gov.il/TozaotMichrazim/resultsDetailed.aspx?id=79335&amp;rc=1315&amp;tr=1693"/>
    <hyperlink ref="Q1342" r:id="rId1263" display="http://www.land.gov.il/TozaotMichrazim/resultsDetailed.aspx?id=79336&amp;rc=1316&amp;tr=1693"/>
    <hyperlink ref="Q1289" r:id="rId1264" display="http://www.land.gov.il/TozaotMichrazim/resultsDetailed.aspx?id=79337&amp;rc=1317&amp;tr=1693"/>
    <hyperlink ref="Q1292" r:id="rId1265" display="http://www.land.gov.il/TozaotMichrazim/resultsDetailed.aspx?id=79338&amp;rc=1318&amp;tr=1693"/>
    <hyperlink ref="Q1304" r:id="rId1266" display="http://www.land.gov.il/TozaotMichrazim/resultsDetailed.aspx?id=79339&amp;rc=1319&amp;tr=1693"/>
    <hyperlink ref="Q1297" r:id="rId1267" display="http://www.land.gov.il/TozaotMichrazim/resultsDetailed.aspx?id=79340&amp;rc=1320&amp;tr=1693"/>
    <hyperlink ref="Q1335" r:id="rId1268" display="http://www.land.gov.il/TozaotMichrazim/resultsDetailed.aspx?id=79341&amp;rc=1321&amp;tr=1693"/>
    <hyperlink ref="Q1337" r:id="rId1269" display="http://www.land.gov.il/TozaotMichrazim/resultsDetailed.aspx?id=79342&amp;rc=1322&amp;tr=1693"/>
    <hyperlink ref="Q1302" r:id="rId1270" display="http://www.land.gov.il/TozaotMichrazim/resultsDetailed.aspx?id=79343&amp;rc=1323&amp;tr=1693"/>
    <hyperlink ref="Q1284" r:id="rId1271" display="http://www.land.gov.il/TozaotMichrazim/resultsDetailed.aspx?id=79344&amp;rc=1324&amp;tr=1693"/>
    <hyperlink ref="Q1288" r:id="rId1272" display="http://www.land.gov.il/TozaotMichrazim/resultsDetailed.aspx?id=79345&amp;rc=1325&amp;tr=1693"/>
    <hyperlink ref="Q1303" r:id="rId1273" display="http://www.land.gov.il/TozaotMichrazim/resultsDetailed.aspx?id=79346&amp;rc=1326&amp;tr=1693"/>
    <hyperlink ref="Q1310" r:id="rId1274" display="http://www.land.gov.il/TozaotMichrazim/resultsDetailed.aspx?id=79347&amp;rc=1327&amp;tr=1693"/>
    <hyperlink ref="Q1280" r:id="rId1275" display="http://www.land.gov.il/TozaotMichrazim/resultsDetailed.aspx?id=79348&amp;rc=1328&amp;tr=1693"/>
    <hyperlink ref="Q1278" r:id="rId1276" display="http://www.land.gov.il/TozaotMichrazim/resultsDetailed.aspx?id=79349&amp;rc=1329&amp;tr=1693"/>
    <hyperlink ref="Q1309" r:id="rId1277" display="http://www.land.gov.il/TozaotMichrazim/resultsDetailed.aspx?id=79350&amp;rc=1330&amp;tr=1693"/>
    <hyperlink ref="Q1306" r:id="rId1278" display="http://www.land.gov.il/TozaotMichrazim/resultsDetailed.aspx?id=79351&amp;rc=1331&amp;tr=1693"/>
    <hyperlink ref="Q1290" r:id="rId1279" display="http://www.land.gov.il/TozaotMichrazim/resultsDetailed.aspx?id=79352&amp;rc=1332&amp;tr=1693"/>
    <hyperlink ref="Q1286" r:id="rId1280" display="http://www.land.gov.il/TozaotMichrazim/resultsDetailed.aspx?id=79353&amp;rc=1333&amp;tr=1693"/>
    <hyperlink ref="Q1324" r:id="rId1281" display="http://www.land.gov.il/TozaotMichrazim/resultsDetailed.aspx?id=79354&amp;rc=1334&amp;tr=1693"/>
    <hyperlink ref="Q1313" r:id="rId1282" display="http://www.land.gov.il/TozaotMichrazim/resultsDetailed.aspx?id=79355&amp;rc=1335&amp;tr=1693"/>
    <hyperlink ref="Q1271" r:id="rId1283" display="http://www.land.gov.il/TozaotMichrazim/resultsDetailed.aspx?id=79356&amp;rc=1336&amp;tr=1693"/>
    <hyperlink ref="Q1343" r:id="rId1284" display="http://www.land.gov.il/TozaotMichrazim/resultsDetailed.aspx?id=79357&amp;rc=1337&amp;tr=1693"/>
    <hyperlink ref="Q1318" r:id="rId1285" display="http://www.land.gov.il/TozaotMichrazim/resultsDetailed.aspx?id=79358&amp;rc=1338&amp;tr=1693"/>
    <hyperlink ref="Q1325" r:id="rId1286" display="http://www.land.gov.il/TozaotMichrazim/resultsDetailed.aspx?id=79359&amp;rc=1339&amp;tr=1693"/>
    <hyperlink ref="Q1330" r:id="rId1287" display="http://www.land.gov.il/TozaotMichrazim/resultsDetailed.aspx?id=79360&amp;rc=1340&amp;tr=1693"/>
    <hyperlink ref="Q1293" r:id="rId1288" display="http://www.land.gov.il/TozaotMichrazim/resultsDetailed.aspx?id=79361&amp;rc=1341&amp;tr=1693"/>
    <hyperlink ref="Q1328" r:id="rId1289" display="http://www.land.gov.il/TozaotMichrazim/resultsDetailed.aspx?id=79362&amp;rc=1342&amp;tr=1693"/>
    <hyperlink ref="Q1279" r:id="rId1290" display="http://www.land.gov.il/TozaotMichrazim/resultsDetailed.aspx?id=79363&amp;rc=1343&amp;tr=1693"/>
    <hyperlink ref="Q1379" r:id="rId1291" display="http://www.land.gov.il/TozaotMichrazim/resultsDetailed.aspx?id=79036&amp;rc=1344&amp;tr=1693"/>
    <hyperlink ref="Q1376" r:id="rId1292" display="http://www.land.gov.il/TozaotMichrazim/resultsDetailed.aspx?id=79037&amp;rc=1345&amp;tr=1693"/>
    <hyperlink ref="Q1360" r:id="rId1293" display="http://www.land.gov.il/TozaotMichrazim/resultsDetailed.aspx?id=79038&amp;rc=1346&amp;tr=1693"/>
    <hyperlink ref="Q1369" r:id="rId1294" display="http://www.land.gov.il/TozaotMichrazim/resultsDetailed.aspx?id=79039&amp;rc=1347&amp;tr=1693"/>
    <hyperlink ref="Q1352" r:id="rId1295" display="http://www.land.gov.il/TozaotMichrazim/resultsDetailed.aspx?id=79040&amp;rc=1348&amp;tr=1693"/>
    <hyperlink ref="Q1346" r:id="rId1296" display="http://www.land.gov.il/TozaotMichrazim/resultsDetailed.aspx?id=78979&amp;rc=1349&amp;tr=1693"/>
    <hyperlink ref="Q1353" r:id="rId1297" display="http://www.land.gov.il/TozaotMichrazim/resultsDetailed.aspx?id=78773&amp;rc=1350&amp;tr=1693"/>
    <hyperlink ref="Q1384" r:id="rId1298" display="http://www.land.gov.il/TozaotMichrazim/resultsDetailed.aspx?id=78774&amp;rc=1351&amp;tr=1693"/>
    <hyperlink ref="Q1370" r:id="rId1299" display="http://www.land.gov.il/TozaotMichrazim/resultsDetailed.aspx?id=78775&amp;rc=1352&amp;tr=1693"/>
    <hyperlink ref="Q1382" r:id="rId1300" display="http://www.land.gov.il/TozaotMichrazim/resultsDetailed.aspx?id=78776&amp;rc=1353&amp;tr=1693"/>
    <hyperlink ref="Q1388" r:id="rId1301" display="http://www.land.gov.il/TozaotMichrazim/resultsDetailed.aspx?id=78777&amp;rc=1354&amp;tr=1693"/>
    <hyperlink ref="Q1386" r:id="rId1302" display="http://www.land.gov.il/TozaotMichrazim/resultsDetailed.aspx?id=78778&amp;rc=1355&amp;tr=1693"/>
    <hyperlink ref="Q1380" r:id="rId1303" display="http://www.land.gov.il/TozaotMichrazim/resultsDetailed.aspx?id=78779&amp;rc=1356&amp;tr=1693"/>
    <hyperlink ref="Q1368" r:id="rId1304" display="http://www.land.gov.il/TozaotMichrazim/resultsDetailed.aspx?id=78780&amp;rc=1357&amp;tr=1693"/>
    <hyperlink ref="Q1373" r:id="rId1305" display="http://www.land.gov.il/TozaotMichrazim/resultsDetailed.aspx?id=78781&amp;rc=1358&amp;tr=1693"/>
    <hyperlink ref="Q1364" r:id="rId1306" display="http://www.land.gov.il/TozaotMichrazim/resultsDetailed.aspx?id=78782&amp;rc=1359&amp;tr=1693"/>
    <hyperlink ref="Q1355" r:id="rId1307" display="http://www.land.gov.il/TozaotMichrazim/resultsDetailed.aspx?id=78783&amp;rc=1360&amp;tr=1693"/>
    <hyperlink ref="Q1377" r:id="rId1308" display="http://www.land.gov.il/TozaotMichrazim/resultsDetailed.aspx?id=78784&amp;rc=1361&amp;tr=1693"/>
    <hyperlink ref="Q1354" r:id="rId1309" display="http://www.land.gov.il/TozaotMichrazim/resultsDetailed.aspx?id=78785&amp;rc=1362&amp;tr=1693"/>
    <hyperlink ref="Q1367" r:id="rId1310" display="http://www.land.gov.il/TozaotMichrazim/resultsDetailed.aspx?id=78028&amp;rc=1363&amp;tr=1693"/>
    <hyperlink ref="Q1351" r:id="rId1311" display="http://www.land.gov.il/TozaotMichrazim/resultsDetailed.aspx?id=78029&amp;rc=1364&amp;tr=1693"/>
    <hyperlink ref="Q1349" r:id="rId1312" display="http://www.land.gov.il/TozaotMichrazim/resultsDetailed.aspx?id=78030&amp;rc=1365&amp;tr=1693"/>
    <hyperlink ref="Q1350" r:id="rId1313" display="http://www.land.gov.il/TozaotMichrazim/resultsDetailed.aspx?id=78031&amp;rc=1366&amp;tr=1693"/>
    <hyperlink ref="Q1361" r:id="rId1314" display="http://www.land.gov.il/TozaotMichrazim/resultsDetailed.aspx?id=78032&amp;rc=1367&amp;tr=1693"/>
    <hyperlink ref="Q1264" r:id="rId1315" display="http://www.land.gov.il/TozaotMichrazim/resultsDetailed.aspx?id=77698&amp;rc=1368&amp;tr=1693"/>
    <hyperlink ref="Q1294" r:id="rId1316" display="http://www.land.gov.il/TozaotMichrazim/resultsDetailed.aspx?id=77699&amp;rc=1369&amp;tr=1693"/>
    <hyperlink ref="Q1385" r:id="rId1317" display="http://www.land.gov.il/TozaotMichrazim/resultsDetailed.aspx?id=77162&amp;rc=1370&amp;tr=1693"/>
    <hyperlink ref="Q1375" r:id="rId1318" display="http://www.land.gov.il/TozaotMichrazim/resultsDetailed.aspx?id=77163&amp;rc=1371&amp;tr=1693"/>
    <hyperlink ref="Q1374" r:id="rId1319" display="http://www.land.gov.il/TozaotMichrazim/resultsDetailed.aspx?id=77164&amp;rc=1372&amp;tr=1693"/>
    <hyperlink ref="Q1359" r:id="rId1320" display="http://www.land.gov.il/TozaotMichrazim/resultsDetailed.aspx?id=77165&amp;rc=1373&amp;tr=1693"/>
    <hyperlink ref="Q1358" r:id="rId1321" display="http://www.land.gov.il/TozaotMichrazim/resultsDetailed.aspx?id=77005&amp;rc=1374&amp;tr=1693"/>
    <hyperlink ref="Q1347" r:id="rId1322" display="http://www.land.gov.il/TozaotMichrazim/resultsDetailed.aspx?id=76595&amp;rc=1375&amp;tr=1693"/>
    <hyperlink ref="Q1277" r:id="rId1323" display="http://www.land.gov.il/TozaotMichrazim/resultsDetailed.aspx?id=76224&amp;rc=1376&amp;tr=1693"/>
    <hyperlink ref="Q1240" r:id="rId1324" display="http://www.land.gov.il/TozaotMichrazim/resultsDetailed.aspx?id=76225&amp;rc=1377&amp;tr=1693"/>
    <hyperlink ref="Q1248" r:id="rId1325" display="http://www.land.gov.il/TozaotMichrazim/resultsDetailed.aspx?id=76226&amp;rc=1378&amp;tr=1693"/>
    <hyperlink ref="Q1212" r:id="rId1326" display="http://www.land.gov.il/TozaotMichrazim/resultsDetailed.aspx?id=76227&amp;rc=1379&amp;tr=1693"/>
    <hyperlink ref="Q1258" r:id="rId1327" display="http://www.land.gov.il/TozaotMichrazim/resultsDetailed.aspx?id=76228&amp;rc=1380&amp;tr=1693"/>
    <hyperlink ref="Q1245" r:id="rId1328" display="http://www.land.gov.il/TozaotMichrazim/resultsDetailed.aspx?id=76229&amp;rc=1381&amp;tr=1693"/>
    <hyperlink ref="Q1213" r:id="rId1329" display="http://www.land.gov.il/TozaotMichrazim/resultsDetailed.aspx?id=76230&amp;rc=1382&amp;tr=1693"/>
    <hyperlink ref="Q1257" r:id="rId1330" display="http://www.land.gov.il/TozaotMichrazim/resultsDetailed.aspx?id=76231&amp;rc=1383&amp;tr=1693"/>
    <hyperlink ref="Q1243" r:id="rId1331" display="http://www.land.gov.il/TozaotMichrazim/resultsDetailed.aspx?id=76232&amp;rc=1384&amp;tr=1693"/>
    <hyperlink ref="Q1216" r:id="rId1332" display="http://www.land.gov.il/TozaotMichrazim/resultsDetailed.aspx?id=76233&amp;rc=1385&amp;tr=1693"/>
    <hyperlink ref="Q1281" r:id="rId1333" display="http://www.land.gov.il/TozaotMichrazim/resultsDetailed.aspx?id=76234&amp;rc=1386&amp;tr=1693"/>
    <hyperlink ref="Q1262" r:id="rId1334" display="http://www.land.gov.il/TozaotMichrazim/resultsDetailed.aspx?id=76235&amp;rc=1387&amp;tr=1693"/>
    <hyperlink ref="Q1227" r:id="rId1335" display="http://www.land.gov.il/TozaotMichrazim/resultsDetailed.aspx?id=76236&amp;rc=1388&amp;tr=1693"/>
    <hyperlink ref="Q1246" r:id="rId1336" display="http://www.land.gov.il/TozaotMichrazim/resultsDetailed.aspx?id=76237&amp;rc=1389&amp;tr=1693"/>
    <hyperlink ref="Q1265" r:id="rId1337" display="http://www.land.gov.il/TozaotMichrazim/resultsDetailed.aspx?id=76238&amp;rc=1390&amp;tr=1693"/>
    <hyperlink ref="Q1229" r:id="rId1338" display="http://www.land.gov.il/TozaotMichrazim/resultsDetailed.aspx?id=76239&amp;rc=1391&amp;tr=1693"/>
    <hyperlink ref="Q1298" r:id="rId1339" display="http://www.land.gov.il/TozaotMichrazim/resultsDetailed.aspx?id=76240&amp;rc=1392&amp;tr=1693"/>
    <hyperlink ref="Q1211" r:id="rId1340" display="http://www.land.gov.il/TozaotMichrazim/resultsDetailed.aspx?id=76241&amp;rc=1393&amp;tr=1693"/>
    <hyperlink ref="Q1339" r:id="rId1341" display="http://www.land.gov.il/TozaotMichrazim/resultsDetailed.aspx?id=76242&amp;rc=1394&amp;tr=1693"/>
    <hyperlink ref="Q1260" r:id="rId1342" display="http://www.land.gov.il/TozaotMichrazim/resultsDetailed.aspx?id=76243&amp;rc=1395&amp;tr=1693"/>
    <hyperlink ref="Q1255" r:id="rId1343" display="http://www.land.gov.il/TozaotMichrazim/resultsDetailed.aspx?id=76244&amp;rc=1396&amp;tr=1693"/>
    <hyperlink ref="Q1253" r:id="rId1344" display="http://www.land.gov.il/TozaotMichrazim/resultsDetailed.aspx?id=76245&amp;rc=1397&amp;tr=1693"/>
    <hyperlink ref="Q1273" r:id="rId1345" display="http://www.land.gov.il/TozaotMichrazim/resultsDetailed.aspx?id=76246&amp;rc=1398&amp;tr=1693"/>
    <hyperlink ref="Q1247" r:id="rId1346" display="http://www.land.gov.il/TozaotMichrazim/resultsDetailed.aspx?id=76247&amp;rc=1399&amp;tr=1693"/>
    <hyperlink ref="Q1266" r:id="rId1347" display="http://www.land.gov.il/TozaotMichrazim/resultsDetailed.aspx?id=76248&amp;rc=1400&amp;tr=1693"/>
    <hyperlink ref="Q1256" r:id="rId1348" display="http://www.land.gov.il/TozaotMichrazim/resultsDetailed.aspx?id=76249&amp;rc=1401&amp;tr=1693"/>
    <hyperlink ref="Q1244" r:id="rId1349" display="http://www.land.gov.il/TozaotMichrazim/resultsDetailed.aspx?id=76250&amp;rc=1402&amp;tr=1693"/>
    <hyperlink ref="Q1236" r:id="rId1350" display="http://www.land.gov.il/TozaotMichrazim/resultsDetailed.aspx?id=76251&amp;rc=1403&amp;tr=1693"/>
    <hyperlink ref="Q1221" r:id="rId1351" display="http://www.land.gov.il/TozaotMichrazim/resultsDetailed.aspx?id=76252&amp;rc=1404&amp;tr=1693"/>
    <hyperlink ref="Q1133" r:id="rId1352" display="http://www.land.gov.il/TozaotMichrazim/resultsDetailed.aspx?id=76253&amp;rc=1405&amp;tr=1693"/>
    <hyperlink ref="Q1234" r:id="rId1353" display="http://www.land.gov.il/TozaotMichrazim/resultsDetailed.aspx?id=76254&amp;rc=1406&amp;tr=1693"/>
    <hyperlink ref="Q1231" r:id="rId1354" display="http://www.land.gov.il/TozaotMichrazim/resultsDetailed.aspx?id=76255&amp;rc=1407&amp;tr=1693"/>
    <hyperlink ref="Q1296" r:id="rId1355" display="http://www.land.gov.il/TozaotMichrazim/resultsDetailed.aspx?id=76256&amp;rc=1408&amp;tr=1693"/>
    <hyperlink ref="Q1254" r:id="rId1356" display="http://www.land.gov.il/TozaotMichrazim/resultsDetailed.aspx?id=76257&amp;rc=1409&amp;tr=1693"/>
    <hyperlink ref="Q1184" r:id="rId1357" display="http://www.land.gov.il/TozaotMichrazim/resultsDetailed.aspx?id=76258&amp;rc=1410&amp;tr=1693"/>
    <hyperlink ref="Q1190" r:id="rId1358" display="http://www.land.gov.il/TozaotMichrazim/resultsDetailed.aspx?id=76259&amp;rc=1411&amp;tr=1693"/>
    <hyperlink ref="Q1263" r:id="rId1359" display="http://www.land.gov.il/TozaotMichrazim/resultsDetailed.aspx?id=76260&amp;rc=1412&amp;tr=1693"/>
    <hyperlink ref="Q1195" r:id="rId1360" display="http://www.land.gov.il/TozaotMichrazim/resultsDetailed.aspx?id=76261&amp;rc=1413&amp;tr=1693"/>
    <hyperlink ref="Q1251" r:id="rId1361" display="http://www.land.gov.il/TozaotMichrazim/resultsDetailed.aspx?id=76262&amp;rc=1414&amp;tr=1693"/>
    <hyperlink ref="Q1261" r:id="rId1362" display="http://www.land.gov.il/TozaotMichrazim/resultsDetailed.aspx?id=76263&amp;rc=1415&amp;tr=1693"/>
    <hyperlink ref="Q1235" r:id="rId1363" display="http://www.land.gov.il/TozaotMichrazim/resultsDetailed.aspx?id=76264&amp;rc=1416&amp;tr=1693"/>
    <hyperlink ref="Q1267" r:id="rId1364" display="http://www.land.gov.il/TozaotMichrazim/resultsDetailed.aspx?id=76265&amp;rc=1417&amp;tr=1693"/>
    <hyperlink ref="Q1274" r:id="rId1365" display="http://www.land.gov.il/TozaotMichrazim/resultsDetailed.aspx?id=76266&amp;rc=1418&amp;tr=1693"/>
    <hyperlink ref="Q1272" r:id="rId1366" display="http://www.land.gov.il/TozaotMichrazim/resultsDetailed.aspx?id=76267&amp;rc=1419&amp;tr=1693"/>
    <hyperlink ref="Q1259" r:id="rId1367" display="http://www.land.gov.il/TozaotMichrazim/resultsDetailed.aspx?id=76268&amp;rc=1420&amp;tr=1693"/>
    <hyperlink ref="Q1275" r:id="rId1368" display="http://www.land.gov.il/TozaotMichrazim/resultsDetailed.aspx?id=76269&amp;rc=1421&amp;tr=1693"/>
    <hyperlink ref="Q1268" r:id="rId1369" display="http://www.land.gov.il/TozaotMichrazim/resultsDetailed.aspx?id=76270&amp;rc=1422&amp;tr=1693"/>
    <hyperlink ref="Q1238" r:id="rId1370" display="http://www.land.gov.il/TozaotMichrazim/resultsDetailed.aspx?id=76271&amp;rc=1423&amp;tr=1693"/>
    <hyperlink ref="Q1269" r:id="rId1371" display="http://www.land.gov.il/TozaotMichrazim/resultsDetailed.aspx?id=76272&amp;rc=1424&amp;tr=1693"/>
    <hyperlink ref="Q1252" r:id="rId1372" display="http://www.land.gov.il/TozaotMichrazim/resultsDetailed.aspx?id=76273&amp;rc=1425&amp;tr=1693"/>
    <hyperlink ref="Q1233" r:id="rId1373" display="http://www.land.gov.il/TozaotMichrazim/resultsDetailed.aspx?id=76274&amp;rc=1426&amp;tr=1693"/>
    <hyperlink ref="Q1164" r:id="rId1374" display="http://www.land.gov.il/TozaotMichrazim/resultsDetailed.aspx?id=76275&amp;rc=1427&amp;tr=1693"/>
    <hyperlink ref="Q1214" r:id="rId1375" display="http://www.land.gov.il/TozaotMichrazim/resultsDetailed.aspx?id=76276&amp;rc=1428&amp;tr=1693"/>
    <hyperlink ref="Q1242" r:id="rId1376" display="http://www.land.gov.il/TozaotMichrazim/resultsDetailed.aspx?id=76277&amp;rc=1429&amp;tr=1693"/>
    <hyperlink ref="Q1223" r:id="rId1377" display="http://www.land.gov.il/TozaotMichrazim/resultsDetailed.aspx?id=76278&amp;rc=1430&amp;tr=1693"/>
    <hyperlink ref="Q1072" r:id="rId1378" display="http://www.land.gov.il/TozaotMichrazim/resultsDetailed.aspx?id=76279&amp;rc=1431&amp;tr=1693"/>
    <hyperlink ref="Q1073" r:id="rId1379" display="http://www.land.gov.il/TozaotMichrazim/resultsDetailed.aspx?id=76280&amp;rc=1432&amp;tr=1693"/>
    <hyperlink ref="Q1224" r:id="rId1380" display="http://www.land.gov.il/TozaotMichrazim/resultsDetailed.aspx?id=76281&amp;rc=1433&amp;tr=1693"/>
    <hyperlink ref="Q1276" r:id="rId1381" display="http://www.land.gov.il/TozaotMichrazim/resultsDetailed.aspx?id=76282&amp;rc=1434&amp;tr=1693"/>
    <hyperlink ref="Q1208" r:id="rId1382" display="http://www.land.gov.il/TozaotMichrazim/resultsDetailed.aspx?id=76283&amp;rc=1435&amp;tr=1693"/>
    <hyperlink ref="Q1241" r:id="rId1383" display="http://www.land.gov.il/TozaotMichrazim/resultsDetailed.aspx?id=76284&amp;rc=1436&amp;tr=1693"/>
    <hyperlink ref="Q1204" r:id="rId1384" display="http://www.land.gov.il/TozaotMichrazim/resultsDetailed.aspx?id=76285&amp;rc=1437&amp;tr=1693"/>
    <hyperlink ref="Q1228" r:id="rId1385" display="http://www.land.gov.il/TozaotMichrazim/resultsDetailed.aspx?id=76286&amp;rc=1438&amp;tr=1693"/>
    <hyperlink ref="Q1285" r:id="rId1386" display="http://www.land.gov.il/TozaotMichrazim/resultsDetailed.aspx?id=76287&amp;rc=1439&amp;tr=1693"/>
    <hyperlink ref="Q1366" r:id="rId1387" display="http://www.land.gov.il/TozaotMichrazim/resultsDetailed.aspx?id=76148&amp;rc=1441&amp;tr=1693"/>
    <hyperlink ref="Q1345" r:id="rId1388" display="http://www.land.gov.il/TozaotMichrazim/resultsDetailed.aspx?id=76150&amp;rc=1443&amp;tr=1693"/>
    <hyperlink ref="Q1383" r:id="rId1389" display="http://www.land.gov.il/TozaotMichrazim/resultsDetailed.aspx?id=76151&amp;rc=1444&amp;tr=1693"/>
    <hyperlink ref="Q1362" r:id="rId1390" display="http://www.land.gov.il/TozaotMichrazim/resultsDetailed.aspx?id=76152&amp;rc=1445&amp;tr=1693"/>
    <hyperlink ref="Q1372" r:id="rId1391" display="http://www.land.gov.il/TozaotMichrazim/resultsDetailed.aspx?id=76153&amp;rc=1446&amp;tr=1693"/>
    <hyperlink ref="Q1722" r:id="rId1392" display="http://www.land.gov.il/TozaotMichrazim/resultsDetailed.aspx?id=86040&amp;rc=1&amp;tr=79"/>
    <hyperlink ref="Q1724" r:id="rId1393" display="http://www.land.gov.il/TozaotMichrazim/resultsDetailed.aspx?id=86041&amp;rc=2&amp;tr=79"/>
    <hyperlink ref="Q1719" r:id="rId1394" display="http://www.land.gov.il/TozaotMichrazim/resultsDetailed.aspx?id=84819&amp;rc=3&amp;tr=79"/>
    <hyperlink ref="Q1721" r:id="rId1395" display="http://www.land.gov.il/TozaotMichrazim/resultsDetailed.aspx?id=84820&amp;rc=4&amp;tr=79"/>
    <hyperlink ref="Q1718" r:id="rId1396" display="http://www.land.gov.il/TozaotMichrazim/resultsDetailed.aspx?id=84821&amp;rc=5&amp;tr=79"/>
    <hyperlink ref="Q1720" r:id="rId1397" display="http://www.land.gov.il/TozaotMichrazim/resultsDetailed.aspx?id=84822&amp;rc=6&amp;tr=79"/>
    <hyperlink ref="Q1730" r:id="rId1398" display="http://www.land.gov.il/TozaotMichrazim/resultsDetailed.aspx?id=81846&amp;rc=8&amp;tr=79"/>
    <hyperlink ref="Q1728" r:id="rId1399" display="http://www.land.gov.il/TozaotMichrazim/resultsDetailed.aspx?id=81694&amp;rc=14&amp;tr=79"/>
    <hyperlink ref="Q1731" r:id="rId1400" display="http://www.land.gov.il/TozaotMichrazim/resultsDetailed.aspx?id=81695&amp;rc=15&amp;tr=79"/>
    <hyperlink ref="Q1729" r:id="rId1401" display="http://www.land.gov.il/TozaotMichrazim/resultsDetailed.aspx?id=81494&amp;rc=19&amp;tr=79"/>
    <hyperlink ref="Q1733" r:id="rId1402" display="http://www.land.gov.il/TozaotMichrazim/resultsDetailed.aspx?id=81495&amp;rc=20&amp;tr=79"/>
    <hyperlink ref="Q1727" r:id="rId1403" display="http://www.land.gov.il/TozaotMichrazim/resultsDetailed.aspx?id=81496&amp;rc=21&amp;tr=79"/>
    <hyperlink ref="Q1725" r:id="rId1404" display="http://www.land.gov.il/TozaotMichrazim/resultsDetailed.aspx?id=81497&amp;rc=22&amp;tr=79"/>
    <hyperlink ref="Q1726" r:id="rId1405" display="http://www.land.gov.il/TozaotMichrazim/resultsDetailed.aspx?id=81498&amp;rc=23&amp;tr=79"/>
    <hyperlink ref="Q1732" r:id="rId1406" display="http://www.land.gov.il/TozaotMichrazim/resultsDetailed.aspx?id=76589&amp;rc=24&amp;tr=79"/>
    <hyperlink ref="Q1723" r:id="rId1407" display="http://www.land.gov.il/TozaotMichrazim/resultsDetailed.aspx?id=76590&amp;rc=25&amp;tr=79"/>
    <hyperlink ref="Q1522" r:id="rId1408" display="http://www.land.gov.il/TozaotMichrazim/resultsDetailed.aspx?id=86697&amp;rc=1&amp;tr=43"/>
    <hyperlink ref="Q1523" r:id="rId1409" display="http://www.land.gov.il/TozaotMichrazim/resultsDetailed.aspx?id=86698&amp;rc=2&amp;tr=43"/>
    <hyperlink ref="Q1527" r:id="rId1410" display="http://www.land.gov.il/TozaotMichrazim/resultsDetailed.aspx?id=86699&amp;rc=3&amp;tr=43"/>
    <hyperlink ref="Q1526" r:id="rId1411" display="http://www.land.gov.il/TozaotMichrazim/resultsDetailed.aspx?id=86700&amp;rc=4&amp;tr=43"/>
    <hyperlink ref="Q1525" r:id="rId1412" display="http://www.land.gov.il/TozaotMichrazim/resultsDetailed.aspx?id=86701&amp;rc=5&amp;tr=43"/>
    <hyperlink ref="Q1524" r:id="rId1413" display="http://www.land.gov.il/TozaotMichrazim/resultsDetailed.aspx?id=86702&amp;rc=6&amp;tr=43"/>
    <hyperlink ref="Q1614" r:id="rId1414" display="http://www.land.gov.il/TozaotMichrazim/resultsDetailed.aspx?id=87227&amp;rc=1&amp;tr=421"/>
    <hyperlink ref="Q1621" r:id="rId1415" display="http://www.land.gov.il/TozaotMichrazim/resultsDetailed.aspx?id=87228&amp;rc=2&amp;tr=421"/>
    <hyperlink ref="Q1623" r:id="rId1416" display="http://www.land.gov.il/TozaotMichrazim/resultsDetailed.aspx?id=87229&amp;rc=3&amp;tr=421"/>
    <hyperlink ref="Q1620" r:id="rId1417" display="http://www.land.gov.il/TozaotMichrazim/resultsDetailed.aspx?id=87230&amp;rc=4&amp;tr=421"/>
    <hyperlink ref="Q1607" r:id="rId1418" display="http://www.land.gov.il/TozaotMichrazim/resultsDetailed.aspx?id=87231&amp;rc=5&amp;tr=421"/>
    <hyperlink ref="Q1608" r:id="rId1419" display="http://www.land.gov.il/TozaotMichrazim/resultsDetailed.aspx?id=87232&amp;rc=6&amp;tr=421"/>
    <hyperlink ref="Q1609" r:id="rId1420" display="http://www.land.gov.il/TozaotMichrazim/resultsDetailed.aspx?id=87233&amp;rc=7&amp;tr=421"/>
    <hyperlink ref="Q1603" r:id="rId1421" display="http://www.land.gov.il/TozaotMichrazim/resultsDetailed.aspx?id=87234&amp;rc=8&amp;tr=421"/>
    <hyperlink ref="Q1625" r:id="rId1422" display="http://www.land.gov.il/TozaotMichrazim/resultsDetailed.aspx?id=87235&amp;rc=9&amp;tr=421"/>
    <hyperlink ref="Q1605" r:id="rId1423" display="http://www.land.gov.il/TozaotMichrazim/resultsDetailed.aspx?id=87236&amp;rc=10&amp;tr=421"/>
    <hyperlink ref="Q1628" r:id="rId1424" display="http://www.land.gov.il/TozaotMichrazim/resultsDetailed.aspx?id=87237&amp;rc=11&amp;tr=421"/>
    <hyperlink ref="Q1630" r:id="rId1425" display="http://www.land.gov.il/TozaotMichrazim/resultsDetailed.aspx?id=87238&amp;rc=12&amp;tr=421"/>
    <hyperlink ref="Q1610" r:id="rId1426" display="http://www.land.gov.il/TozaotMichrazim/resultsDetailed.aspx?id=87239&amp;rc=13&amp;tr=421"/>
    <hyperlink ref="Q1616" r:id="rId1427" display="http://www.land.gov.il/TozaotMichrazim/resultsDetailed.aspx?id=87240&amp;rc=14&amp;tr=421"/>
    <hyperlink ref="Q1613" r:id="rId1428" display="http://www.land.gov.il/TozaotMichrazim/resultsDetailed.aspx?id=87241&amp;rc=15&amp;tr=421"/>
    <hyperlink ref="Q1626" r:id="rId1429" display="http://www.land.gov.il/TozaotMichrazim/resultsDetailed.aspx?id=87242&amp;rc=16&amp;tr=421"/>
    <hyperlink ref="Q1619" r:id="rId1430" display="http://www.land.gov.il/TozaotMichrazim/resultsDetailed.aspx?id=87243&amp;rc=17&amp;tr=421"/>
    <hyperlink ref="Q1606" r:id="rId1431" display="http://www.land.gov.il/TozaotMichrazim/resultsDetailed.aspx?id=87244&amp;rc=18&amp;tr=421"/>
    <hyperlink ref="Q1618" r:id="rId1432" display="http://www.land.gov.il/TozaotMichrazim/resultsDetailed.aspx?id=87245&amp;rc=19&amp;tr=421"/>
    <hyperlink ref="Q1612" r:id="rId1433" display="http://www.land.gov.il/TozaotMichrazim/resultsDetailed.aspx?id=87246&amp;rc=20&amp;tr=421"/>
    <hyperlink ref="Q1624" r:id="rId1434" display="http://www.land.gov.il/TozaotMichrazim/resultsDetailed.aspx?id=87247&amp;rc=21&amp;tr=421"/>
    <hyperlink ref="Q1629" r:id="rId1435" display="http://www.land.gov.il/TozaotMichrazim/resultsDetailed.aspx?id=87248&amp;rc=22&amp;tr=421"/>
    <hyperlink ref="Q1602" r:id="rId1436" display="http://www.land.gov.il/TozaotMichrazim/resultsDetailed.aspx?id=87249&amp;rc=23&amp;tr=421"/>
    <hyperlink ref="Q1611" r:id="rId1437" display="http://www.land.gov.il/TozaotMichrazim/resultsDetailed.aspx?id=87250&amp;rc=24&amp;tr=421"/>
    <hyperlink ref="Q1617" r:id="rId1438" display="http://www.land.gov.il/TozaotMichrazim/resultsDetailed.aspx?id=87251&amp;rc=25&amp;tr=421"/>
    <hyperlink ref="Q1604" r:id="rId1439" display="http://www.land.gov.il/TozaotMichrazim/resultsDetailed.aspx?id=87252&amp;rc=26&amp;tr=421"/>
    <hyperlink ref="Q1615" r:id="rId1440" display="http://www.land.gov.il/TozaotMichrazim/resultsDetailed.aspx?id=87253&amp;rc=27&amp;tr=421"/>
    <hyperlink ref="Q1601" r:id="rId1441" display="http://www.land.gov.il/TozaotMichrazim/resultsDetailed.aspx?id=87254&amp;rc=28&amp;tr=421"/>
    <hyperlink ref="Q1622" r:id="rId1442" display="http://www.land.gov.il/TozaotMichrazim/resultsDetailed.aspx?id=87255&amp;rc=29&amp;tr=421"/>
    <hyperlink ref="Q1627" r:id="rId1443" display="http://www.land.gov.il/TozaotMichrazim/resultsDetailed.aspx?id=87256&amp;rc=30&amp;tr=421"/>
    <hyperlink ref="Q1676" r:id="rId1444" display="http://www.land.gov.il/TozaotMichrazim/resultsDetailed.aspx?id=87130&amp;rc=31&amp;tr=421"/>
    <hyperlink ref="Q1681" r:id="rId1445" display="http://www.land.gov.il/TozaotMichrazim/resultsDetailed.aspx?id=86266&amp;rc=34&amp;tr=421"/>
    <hyperlink ref="Q1679" r:id="rId1446" display="http://www.land.gov.il/TozaotMichrazim/resultsDetailed.aspx?id=86267&amp;rc=35&amp;tr=421"/>
    <hyperlink ref="Q1670" r:id="rId1447" display="http://www.land.gov.il/TozaotMichrazim/resultsDetailed.aspx?id=86268&amp;rc=36&amp;tr=421"/>
    <hyperlink ref="Q1660" r:id="rId1448" display="http://www.land.gov.il/TozaotMichrazim/resultsDetailed.aspx?id=86269&amp;rc=37&amp;tr=421"/>
    <hyperlink ref="Q1687" r:id="rId1449" display="http://www.land.gov.il/TozaotMichrazim/resultsDetailed.aspx?id=86270&amp;rc=38&amp;tr=421"/>
    <hyperlink ref="Q1646" r:id="rId1450" display="http://www.land.gov.il/TozaotMichrazim/resultsDetailed.aspx?id=86271&amp;rc=39&amp;tr=421"/>
    <hyperlink ref="Q1641" r:id="rId1451" display="http://www.land.gov.il/TozaotMichrazim/resultsDetailed.aspx?id=86272&amp;rc=40&amp;tr=421"/>
    <hyperlink ref="Q1694" r:id="rId1452" display="http://www.land.gov.il/TozaotMichrazim/resultsDetailed.aspx?id=86273&amp;rc=41&amp;tr=421"/>
    <hyperlink ref="Q1683" r:id="rId1453" display="http://www.land.gov.il/TozaotMichrazim/resultsDetailed.aspx?id=86274&amp;rc=42&amp;tr=421"/>
    <hyperlink ref="Q1668" r:id="rId1454"/>
    <hyperlink ref="Q1665" r:id="rId1455" display="http://www.land.gov.il/TozaotMichrazim/resultsDetailed.aspx?id=84743&amp;rc=44&amp;tr=421"/>
    <hyperlink ref="Q1600" r:id="rId1456" display="http://www.land.gov.il/TozaotMichrazim/resultsDetailed.aspx?id=84692&amp;rc=45&amp;tr=421"/>
    <hyperlink ref="Q1659" r:id="rId1457" display="http://www.land.gov.il/TozaotMichrazim/resultsDetailed.aspx?id=83658&amp;rc=46&amp;tr=421"/>
    <hyperlink ref="Q1678" r:id="rId1458" display="http://www.land.gov.il/TozaotMichrazim/resultsDetailed.aspx?id=83299&amp;rc=47&amp;tr=421"/>
    <hyperlink ref="Q1667" r:id="rId1459" display="http://www.land.gov.il/TozaotMichrazim/resultsDetailed.aspx?id=83300&amp;rc=48&amp;tr=421"/>
    <hyperlink ref="Q1658" r:id="rId1460" display="http://www.land.gov.il/TozaotMichrazim/resultsDetailed.aspx?id=83301&amp;rc=49&amp;tr=421"/>
    <hyperlink ref="Q1649" r:id="rId1461" display="http://www.land.gov.il/TozaotMichrazim/resultsDetailed.aspx?id=83302&amp;rc=50&amp;tr=421"/>
    <hyperlink ref="Q1669" r:id="rId1462" display="http://www.land.gov.il/TozaotMichrazim/resultsDetailed.aspx?id=83303&amp;rc=51&amp;tr=421"/>
    <hyperlink ref="Q1656" r:id="rId1463" display="http://www.land.gov.il/TozaotMichrazim/resultsDetailed.aspx?id=81922&amp;rc=52&amp;tr=421"/>
    <hyperlink ref="Q1643" r:id="rId1464" display="http://www.land.gov.il/TozaotMichrazim/resultsDetailed.aspx?id=81923&amp;rc=53&amp;tr=421"/>
    <hyperlink ref="Q1639" r:id="rId1465" display="http://www.land.gov.il/TozaotMichrazim/resultsDetailed.aspx?id=81924&amp;rc=54&amp;tr=421"/>
    <hyperlink ref="Q1642" r:id="rId1466" display="http://www.land.gov.il/TozaotMichrazim/resultsDetailed.aspx?id=81925&amp;rc=55&amp;tr=421"/>
    <hyperlink ref="Q1653" r:id="rId1467" display="http://www.land.gov.il/TozaotMichrazim/resultsDetailed.aspx?id=81926&amp;rc=56&amp;tr=421"/>
    <hyperlink ref="Q1671" r:id="rId1468" display="http://www.land.gov.il/TozaotMichrazim/resultsDetailed.aspx?id=81688&amp;rc=57&amp;tr=421"/>
    <hyperlink ref="Q1682" r:id="rId1469" display="http://www.land.gov.il/TozaotMichrazim/resultsDetailed.aspx?id=81689&amp;rc=58&amp;tr=421"/>
    <hyperlink ref="Q1688" r:id="rId1470" display="http://www.land.gov.il/TozaotMichrazim/resultsDetailed.aspx?id=81690&amp;rc=59&amp;tr=421"/>
    <hyperlink ref="Q1692" r:id="rId1471" display="http://www.land.gov.il/TozaotMichrazim/resultsDetailed.aspx?id=81691&amp;rc=60&amp;tr=421"/>
    <hyperlink ref="Q1661" r:id="rId1472" display="http://www.land.gov.il/TozaotMichrazim/resultsDetailed.aspx?id=81692&amp;rc=61&amp;tr=421"/>
    <hyperlink ref="Q1677" r:id="rId1473" display="http://www.land.gov.il/TozaotMichrazim/resultsDetailed.aspx?id=81693&amp;rc=62&amp;tr=421"/>
    <hyperlink ref="Q1684" r:id="rId1474" display="http://www.land.gov.il/TozaotMichrazim/resultsDetailed.aspx?id=80860&amp;rc=65&amp;tr=421"/>
    <hyperlink ref="Q1689" r:id="rId1475" display="http://www.land.gov.il/TozaotMichrazim/resultsDetailed.aspx?id=80861&amp;rc=66&amp;tr=421"/>
    <hyperlink ref="Q1663" r:id="rId1476" display="http://www.land.gov.il/TozaotMichrazim/resultsDetailed.aspx?id=80862&amp;rc=67&amp;tr=421"/>
    <hyperlink ref="Q1695" r:id="rId1477" display="http://www.land.gov.il/TozaotMichrazim/resultsDetailed.aspx?id=80863&amp;rc=68&amp;tr=421"/>
    <hyperlink ref="Q1647" r:id="rId1478" display="http://www.land.gov.il/TozaotMichrazim/resultsDetailed.aspx?id=80112&amp;rc=74&amp;tr=421"/>
    <hyperlink ref="Q1672" r:id="rId1479" display="http://www.land.gov.il/TozaotMichrazim/resultsDetailed.aspx?id=80113&amp;rc=75&amp;tr=421"/>
    <hyperlink ref="Q1634" r:id="rId1480" display="http://www.land.gov.il/TozaotMichrazim/resultsDetailed.aspx?id=80114&amp;rc=76&amp;tr=421"/>
    <hyperlink ref="Q1640" r:id="rId1481" display="http://www.land.gov.il/TozaotMichrazim/resultsDetailed.aspx?id=80115&amp;rc=77&amp;tr=421"/>
    <hyperlink ref="Q1652" r:id="rId1482" display="http://www.land.gov.il/TozaotMichrazim/resultsDetailed.aspx?id=80116&amp;rc=78&amp;tr=421"/>
    <hyperlink ref="Q1632" r:id="rId1483" display="http://www.land.gov.il/TozaotMichrazim/resultsDetailed.aspx?id=80117&amp;rc=79&amp;tr=421"/>
    <hyperlink ref="Q1631" r:id="rId1484" display="http://www.land.gov.il/TozaotMichrazim/resultsDetailed.aspx?id=80118&amp;rc=80&amp;tr=421"/>
    <hyperlink ref="Q1645" r:id="rId1485" display="http://www.land.gov.il/TozaotMichrazim/resultsDetailed.aspx?id=80119&amp;rc=81&amp;tr=421"/>
    <hyperlink ref="Q1637" r:id="rId1486" display="http://www.land.gov.il/TozaotMichrazim/resultsDetailed.aspx?id=80120&amp;rc=82&amp;tr=421"/>
    <hyperlink ref="Q1685" r:id="rId1487" display="http://www.land.gov.il/TozaotMichrazim/resultsDetailed.aspx?id=80121&amp;rc=83&amp;tr=421"/>
    <hyperlink ref="Q1635" r:id="rId1488" display="http://www.land.gov.il/TozaotMichrazim/resultsDetailed.aspx?id=80122&amp;rc=84&amp;tr=421"/>
    <hyperlink ref="Q1691" r:id="rId1489" display="http://www.land.gov.il/TozaotMichrazim/resultsDetailed.aspx?id=80123&amp;rc=85&amp;tr=421"/>
    <hyperlink ref="Q1674" r:id="rId1490" display="http://www.land.gov.il/TozaotMichrazim/resultsDetailed.aspx?id=80124&amp;rc=86&amp;tr=421"/>
    <hyperlink ref="Q1636" r:id="rId1491" display="http://www.land.gov.il/TozaotMichrazim/resultsDetailed.aspx?id=80125&amp;rc=87&amp;tr=421"/>
    <hyperlink ref="Q1664" r:id="rId1492" display="http://www.land.gov.il/TozaotMichrazim/resultsDetailed.aspx?id=80126&amp;rc=88&amp;tr=421"/>
    <hyperlink ref="Q1662" r:id="rId1493" display="http://www.land.gov.il/TozaotMichrazim/resultsDetailed.aspx?id=80127&amp;rc=89&amp;tr=421"/>
    <hyperlink ref="Q1651" r:id="rId1494" display="http://www.land.gov.il/TozaotMichrazim/resultsDetailed.aspx?id=80128&amp;rc=90&amp;tr=421"/>
    <hyperlink ref="Q1650" r:id="rId1495" display="http://www.land.gov.il/TozaotMichrazim/resultsDetailed.aspx?id=80129&amp;rc=91&amp;tr=421"/>
    <hyperlink ref="Q1648" r:id="rId1496" display="http://www.land.gov.il/TozaotMichrazim/resultsDetailed.aspx?id=80130&amp;rc=92&amp;tr=421"/>
    <hyperlink ref="Q1690" r:id="rId1497" display="http://www.land.gov.il/TozaotMichrazim/resultsDetailed.aspx?id=80131&amp;rc=93&amp;tr=421"/>
    <hyperlink ref="Q1680" r:id="rId1498" display="http://www.land.gov.il/TozaotMichrazim/resultsDetailed.aspx?id=80132&amp;rc=94&amp;tr=421"/>
    <hyperlink ref="Q1686" r:id="rId1499" display="http://www.land.gov.il/TozaotMichrazim/resultsDetailed.aspx?id=80133&amp;rc=95&amp;tr=421"/>
    <hyperlink ref="Q1657" r:id="rId1500" display="http://www.land.gov.il/TozaotMichrazim/resultsDetailed.aspx?id=80134&amp;rc=96&amp;tr=421"/>
    <hyperlink ref="Q1655" r:id="rId1501" display="http://www.land.gov.il/TozaotMichrazim/resultsDetailed.aspx?id=80135&amp;rc=97&amp;tr=421"/>
    <hyperlink ref="Q1673" r:id="rId1502" display="http://www.land.gov.il/TozaotMichrazim/resultsDetailed.aspx?id=80136&amp;rc=98&amp;tr=421"/>
    <hyperlink ref="Q1644" r:id="rId1503" display="http://www.land.gov.il/TozaotMichrazim/resultsDetailed.aspx?id=80137&amp;rc=99&amp;tr=421"/>
    <hyperlink ref="Q1654" r:id="rId1504" display="http://www.land.gov.il/TozaotMichrazim/resultsDetailed.aspx?id=80138&amp;rc=100&amp;tr=421"/>
    <hyperlink ref="Q1675" r:id="rId1505" display="http://www.land.gov.il/TozaotMichrazim/resultsDetailed.aspx?id=80139&amp;rc=101&amp;tr=421"/>
    <hyperlink ref="Q1693" r:id="rId1506" display="http://www.land.gov.il/TozaotMichrazim/resultsDetailed.aspx?id=80140&amp;rc=102&amp;tr=421"/>
    <hyperlink ref="Q1666" r:id="rId1507" display="http://www.land.gov.il/TozaotMichrazim/resultsDetailed.aspx?id=79027&amp;rc=103&amp;tr=421"/>
    <hyperlink ref="Q1633" r:id="rId1508" display="http://www.land.gov.il/TozaotMichrazim/resultsDetailed.aspx?id=79028&amp;rc=104&amp;tr=421"/>
    <hyperlink ref="Q1638" r:id="rId1509" display="http://www.land.gov.il/TozaotMichrazim/resultsDetailed.aspx?id=79029&amp;rc=105&amp;tr=421"/>
    <hyperlink ref="Q1717" r:id="rId1510" display="http://www.land.gov.il/TozaotMichrazim/resultsDetailed.aspx?id=86277&amp;rc=1&amp;tr=679"/>
    <hyperlink ref="Q1716" r:id="rId1511" display="http://www.land.gov.il/TozaotMichrazim/resultsDetailed.aspx?id=86278&amp;rc=2&amp;tr=679"/>
    <hyperlink ref="Q1715" r:id="rId1512" display="http://www.land.gov.il/TozaotMichrazim/resultsDetailed.aspx?id=86279&amp;rc=3&amp;tr=679"/>
    <hyperlink ref="Q1713" r:id="rId1513" display="http://www.land.gov.il/TozaotMichrazim/resultsDetailed.aspx?id=86280&amp;rc=4&amp;tr=679"/>
    <hyperlink ref="Q1714" r:id="rId1514" display="http://www.land.gov.il/TozaotMichrazim/resultsDetailed.aspx?id=86281&amp;rc=5&amp;tr=679"/>
    <hyperlink ref="Q2196" r:id="rId1515" display="http://www.land.gov.il/TozaotMichrazim/resultsDetailed.aspx?id=86744&amp;rc=2&amp;tr=674"/>
    <hyperlink ref="Q2168" r:id="rId1516" display="http://www.land.gov.il/TozaotMichrazim/resultsDetailed.aspx?id=86659&amp;rc=3&amp;tr=674"/>
    <hyperlink ref="Q2167" r:id="rId1517" display="http://www.land.gov.il/TozaotMichrazim/resultsDetailed.aspx?id=86660&amp;rc=4&amp;tr=674"/>
    <hyperlink ref="Q1813" r:id="rId1518" display="http://www.land.gov.il/TozaotMichrazim/resultsDetailed.aspx?id=86414&amp;rc=5&amp;tr=674"/>
    <hyperlink ref="Q1914" r:id="rId1519" display="http://www.land.gov.il/TozaotMichrazim/resultsDetailed.aspx?id=86415&amp;rc=6&amp;tr=674"/>
    <hyperlink ref="Q1951" r:id="rId1520" display="http://www.land.gov.il/TozaotMichrazim/resultsDetailed.aspx?id=86416&amp;rc=7&amp;tr=674"/>
    <hyperlink ref="Q1947" r:id="rId1521" display="http://www.land.gov.il/TozaotMichrazim/resultsDetailed.aspx?id=86417&amp;rc=8&amp;tr=674"/>
    <hyperlink ref="Q1901" r:id="rId1522" display="http://www.land.gov.il/TozaotMichrazim/resultsDetailed.aspx?id=86418&amp;rc=9&amp;tr=674"/>
    <hyperlink ref="Q2018" r:id="rId1523" display="http://www.land.gov.il/TozaotMichrazim/resultsDetailed.aspx?id=86419&amp;rc=10&amp;tr=674"/>
    <hyperlink ref="Q1956" r:id="rId1524" display="http://www.land.gov.il/TozaotMichrazim/resultsDetailed.aspx?id=86420&amp;rc=11&amp;tr=674"/>
    <hyperlink ref="Q1890" r:id="rId1525" display="http://www.land.gov.il/TozaotMichrazim/resultsDetailed.aspx?id=86421&amp;rc=12&amp;tr=674"/>
    <hyperlink ref="Q2173" r:id="rId1526" display="http://www.land.gov.il/TozaotMichrazim/resultsDetailed.aspx?id=86422&amp;rc=13&amp;tr=674"/>
    <hyperlink ref="Q2033" r:id="rId1527" display="http://www.land.gov.il/TozaotMichrazim/resultsDetailed.aspx?id=86423&amp;rc=14&amp;tr=674"/>
    <hyperlink ref="Q2023" r:id="rId1528" display="http://www.land.gov.il/TozaotMichrazim/resultsDetailed.aspx?id=86424&amp;rc=15&amp;tr=674"/>
    <hyperlink ref="Q1959" r:id="rId1529" display="http://www.land.gov.il/TozaotMichrazim/resultsDetailed.aspx?id=86425&amp;rc=16&amp;tr=674"/>
    <hyperlink ref="Q1995" r:id="rId1530" display="http://www.land.gov.il/TozaotMichrazim/resultsDetailed.aspx?id=86426&amp;rc=17&amp;tr=674"/>
    <hyperlink ref="Q1988" r:id="rId1531" display="http://www.land.gov.il/TozaotMichrazim/resultsDetailed.aspx?id=86427&amp;rc=18&amp;tr=674"/>
    <hyperlink ref="Q1997" r:id="rId1532" display="http://www.land.gov.il/TozaotMichrazim/resultsDetailed.aspx?id=86428&amp;rc=19&amp;tr=674"/>
    <hyperlink ref="Q1963" r:id="rId1533" display="http://www.land.gov.il/TozaotMichrazim/resultsDetailed.aspx?id=86429&amp;rc=20&amp;tr=674"/>
    <hyperlink ref="Q1973" r:id="rId1534" display="http://www.land.gov.il/TozaotMichrazim/resultsDetailed.aspx?id=86430&amp;rc=21&amp;tr=674"/>
    <hyperlink ref="Q1937" r:id="rId1535" display="http://www.land.gov.il/TozaotMichrazim/resultsDetailed.aspx?id=86431&amp;rc=22&amp;tr=674"/>
    <hyperlink ref="Q2059" r:id="rId1536" display="http://www.land.gov.il/TozaotMichrazim/resultsDetailed.aspx?id=86432&amp;rc=23&amp;tr=674"/>
    <hyperlink ref="Q2065" r:id="rId1537" display="http://www.land.gov.il/TozaotMichrazim/resultsDetailed.aspx?id=86433&amp;rc=24&amp;tr=674"/>
    <hyperlink ref="Q1853" r:id="rId1538" display="http://www.land.gov.il/TozaotMichrazim/resultsDetailed.aspx?id=86434&amp;rc=25&amp;tr=674"/>
    <hyperlink ref="Q1859" r:id="rId1539" display="http://www.land.gov.il/TozaotMichrazim/resultsDetailed.aspx?id=86435&amp;rc=26&amp;tr=674"/>
    <hyperlink ref="Q2107" r:id="rId1540" display="http://www.land.gov.il/TozaotMichrazim/resultsDetailed.aspx?id=86436&amp;rc=27&amp;tr=674"/>
    <hyperlink ref="Q2106" r:id="rId1541" display="http://www.land.gov.il/TozaotMichrazim/resultsDetailed.aspx?id=86437&amp;rc=28&amp;tr=674"/>
    <hyperlink ref="Q1845" r:id="rId1542" display="http://www.land.gov.il/TozaotMichrazim/resultsDetailed.aspx?id=86438&amp;rc=29&amp;tr=674"/>
    <hyperlink ref="Q1927" r:id="rId1543" display="http://www.land.gov.il/TozaotMichrazim/resultsDetailed.aspx?id=86439&amp;rc=30&amp;tr=674"/>
    <hyperlink ref="Q1849" r:id="rId1544" display="http://www.land.gov.il/TozaotMichrazim/resultsDetailed.aspx?id=86440&amp;rc=31&amp;tr=674"/>
    <hyperlink ref="Q1860" r:id="rId1545" display="http://www.land.gov.il/TozaotMichrazim/resultsDetailed.aspx?id=86441&amp;rc=32&amp;tr=674"/>
    <hyperlink ref="Q2042" r:id="rId1546" display="http://www.land.gov.il/TozaotMichrazim/resultsDetailed.aspx?id=86442&amp;rc=33&amp;tr=674"/>
    <hyperlink ref="Q2074" r:id="rId1547" display="http://www.land.gov.il/TozaotMichrazim/resultsDetailed.aspx?id=86443&amp;rc=34&amp;tr=674"/>
    <hyperlink ref="Q2050" r:id="rId1548" display="http://www.land.gov.il/TozaotMichrazim/resultsDetailed.aspx?id=86444&amp;rc=35&amp;tr=674"/>
    <hyperlink ref="Q2091" r:id="rId1549" display="http://www.land.gov.il/TozaotMichrazim/resultsDetailed.aspx?id=86445&amp;rc=36&amp;tr=674"/>
    <hyperlink ref="Q2029" r:id="rId1550" display="http://www.land.gov.il/TozaotMichrazim/resultsDetailed.aspx?id=86446&amp;rc=37&amp;tr=674"/>
    <hyperlink ref="Q1925" r:id="rId1551" display="http://www.land.gov.il/TozaotMichrazim/resultsDetailed.aspx?id=86447&amp;rc=38&amp;tr=674"/>
    <hyperlink ref="Q1856" r:id="rId1552" display="http://www.land.gov.il/TozaotMichrazim/resultsDetailed.aspx?id=86448&amp;rc=39&amp;tr=674"/>
    <hyperlink ref="Q2149" r:id="rId1553" display="http://www.land.gov.il/TozaotMichrazim/resultsDetailed.aspx?id=86449&amp;rc=40&amp;tr=674"/>
    <hyperlink ref="Q1911" r:id="rId1554" display="http://www.land.gov.il/TozaotMichrazim/resultsDetailed.aspx?id=86450&amp;rc=41&amp;tr=674"/>
    <hyperlink ref="Q2171" r:id="rId1555" display="http://www.land.gov.il/TozaotMichrazim/resultsDetailed.aspx?id=86451&amp;rc=42&amp;tr=674"/>
    <hyperlink ref="Q2100" r:id="rId1556" display="http://www.land.gov.il/TozaotMichrazim/resultsDetailed.aspx?id=86452&amp;rc=43&amp;tr=674"/>
    <hyperlink ref="Q2102" r:id="rId1557" display="http://www.land.gov.il/TozaotMichrazim/resultsDetailed.aspx?id=86453&amp;rc=44&amp;tr=674"/>
    <hyperlink ref="Q2061" r:id="rId1558" display="http://www.land.gov.il/TozaotMichrazim/resultsDetailed.aspx?id=86454&amp;rc=45&amp;tr=674"/>
    <hyperlink ref="Q2066" r:id="rId1559" display="http://www.land.gov.il/TozaotMichrazim/resultsDetailed.aspx?id=86455&amp;rc=46&amp;tr=674"/>
    <hyperlink ref="Q1836" r:id="rId1560" display="http://www.land.gov.il/TozaotMichrazim/resultsDetailed.aspx?id=86456&amp;rc=47&amp;tr=674"/>
    <hyperlink ref="Q2043" r:id="rId1561" display="http://www.land.gov.il/TozaotMichrazim/resultsDetailed.aspx?id=86457&amp;rc=48&amp;tr=674"/>
    <hyperlink ref="Q1976" r:id="rId1562" display="http://www.land.gov.il/TozaotMichrazim/resultsDetailed.aspx?id=86458&amp;rc=49&amp;tr=674"/>
    <hyperlink ref="Q1949" r:id="rId1563" display="http://www.land.gov.il/TozaotMichrazim/resultsDetailed.aspx?id=86459&amp;rc=50&amp;tr=674"/>
    <hyperlink ref="Q1967" r:id="rId1564" display="http://www.land.gov.il/TozaotMichrazim/resultsDetailed.aspx?id=86460&amp;rc=51&amp;tr=674"/>
    <hyperlink ref="Q1878" r:id="rId1565" display="http://www.land.gov.il/TozaotMichrazim/resultsDetailed.aspx?id=86461&amp;rc=52&amp;tr=674"/>
    <hyperlink ref="Q1891" r:id="rId1566" display="http://www.land.gov.il/TozaotMichrazim/resultsDetailed.aspx?id=86462&amp;rc=53&amp;tr=674"/>
    <hyperlink ref="Q1892" r:id="rId1567" display="http://www.land.gov.il/TozaotMichrazim/resultsDetailed.aspx?id=86463&amp;rc=54&amp;tr=674"/>
    <hyperlink ref="Q1899" r:id="rId1568" display="http://www.land.gov.il/TozaotMichrazim/resultsDetailed.aspx?id=86464&amp;rc=55&amp;tr=674"/>
    <hyperlink ref="Q2024" r:id="rId1569" display="http://www.land.gov.il/TozaotMichrazim/resultsDetailed.aspx?id=86465&amp;rc=56&amp;tr=674"/>
    <hyperlink ref="Q1926" r:id="rId1570" display="http://www.land.gov.il/TozaotMichrazim/resultsDetailed.aspx?id=86466&amp;rc=57&amp;tr=674"/>
    <hyperlink ref="Q2014" r:id="rId1571" display="http://www.land.gov.il/TozaotMichrazim/resultsDetailed.aspx?id=86467&amp;rc=58&amp;tr=674"/>
    <hyperlink ref="Q2020" r:id="rId1572" display="http://www.land.gov.il/TozaotMichrazim/resultsDetailed.aspx?id=86468&amp;rc=59&amp;tr=674"/>
    <hyperlink ref="Q1957" r:id="rId1573" display="http://www.land.gov.il/TozaotMichrazim/resultsDetailed.aspx?id=86469&amp;rc=60&amp;tr=674"/>
    <hyperlink ref="Q1744" r:id="rId1574" display="http://www.land.gov.il/TozaotMichrazim/resultsDetailed.aspx?id=86470&amp;rc=61&amp;tr=674"/>
    <hyperlink ref="Q2039" r:id="rId1575" display="http://www.land.gov.il/TozaotMichrazim/resultsDetailed.aspx?id=86471&amp;rc=62&amp;tr=674"/>
    <hyperlink ref="Q2025" r:id="rId1576" display="http://www.land.gov.il/TozaotMichrazim/resultsDetailed.aspx?id=86472&amp;rc=63&amp;tr=674"/>
    <hyperlink ref="Q2077" r:id="rId1577" display="http://www.land.gov.il/TozaotMichrazim/resultsDetailed.aspx?id=86473&amp;rc=64&amp;tr=674"/>
    <hyperlink ref="Q2005" r:id="rId1578" display="http://www.land.gov.il/TozaotMichrazim/resultsDetailed.aspx?id=86474&amp;rc=65&amp;tr=674"/>
    <hyperlink ref="Q2021" r:id="rId1579" display="http://www.land.gov.il/TozaotMichrazim/resultsDetailed.aspx?id=86475&amp;rc=66&amp;tr=674"/>
    <hyperlink ref="Q2030" r:id="rId1580" display="http://www.land.gov.il/TozaotMichrazim/resultsDetailed.aspx?id=86476&amp;rc=67&amp;tr=674"/>
    <hyperlink ref="Q2046" r:id="rId1581" display="http://www.land.gov.il/TozaotMichrazim/resultsDetailed.aspx?id=86477&amp;rc=68&amp;tr=674"/>
    <hyperlink ref="Q2071" r:id="rId1582" display="http://www.land.gov.il/TozaotMichrazim/resultsDetailed.aspx?id=86478&amp;rc=69&amp;tr=674"/>
    <hyperlink ref="Q1983" r:id="rId1583" display="http://www.land.gov.il/TozaotMichrazim/resultsDetailed.aspx?id=86479&amp;rc=70&amp;tr=674"/>
    <hyperlink ref="Q2057" r:id="rId1584" display="http://www.land.gov.il/TozaotMichrazim/resultsDetailed.aspx?id=86480&amp;rc=71&amp;tr=674"/>
    <hyperlink ref="Q2004" r:id="rId1585" display="http://www.land.gov.il/TozaotMichrazim/resultsDetailed.aspx?id=86481&amp;rc=72&amp;tr=674"/>
    <hyperlink ref="Q2012" r:id="rId1586" display="http://www.land.gov.il/TozaotMichrazim/resultsDetailed.aspx?id=86482&amp;rc=73&amp;tr=674"/>
    <hyperlink ref="Q2067" r:id="rId1587" display="http://www.land.gov.il/TozaotMichrazim/resultsDetailed.aspx?id=86483&amp;rc=74&amp;tr=674"/>
    <hyperlink ref="Q2009" r:id="rId1588" display="http://www.land.gov.il/TozaotMichrazim/resultsDetailed.aspx?id=86484&amp;rc=75&amp;tr=674"/>
    <hyperlink ref="Q1987" r:id="rId1589" display="http://www.land.gov.il/TozaotMichrazim/resultsDetailed.aspx?id=86485&amp;rc=76&amp;tr=674"/>
    <hyperlink ref="Q1989" r:id="rId1590" display="http://www.land.gov.il/TozaotMichrazim/resultsDetailed.aspx?id=86486&amp;rc=77&amp;tr=674"/>
    <hyperlink ref="Q2013" r:id="rId1591" display="http://www.land.gov.il/TozaotMichrazim/resultsDetailed.aspx?id=86487&amp;rc=78&amp;tr=674"/>
    <hyperlink ref="Q2001" r:id="rId1592" display="http://www.land.gov.il/TozaotMichrazim/resultsDetailed.aspx?id=86488&amp;rc=79&amp;tr=674"/>
    <hyperlink ref="Q2101" r:id="rId1593" display="http://www.land.gov.il/TozaotMichrazim/resultsDetailed.aspx?id=86489&amp;rc=80&amp;tr=674"/>
    <hyperlink ref="Q2157" r:id="rId1594" display="http://www.land.gov.il/TozaotMichrazim/resultsDetailed.aspx?id=86490&amp;rc=81&amp;tr=674"/>
    <hyperlink ref="Q2138" r:id="rId1595" display="http://www.land.gov.il/TozaotMichrazim/resultsDetailed.aspx?id=86491&amp;rc=82&amp;tr=674"/>
    <hyperlink ref="Q2139" r:id="rId1596" display="http://www.land.gov.il/TozaotMichrazim/resultsDetailed.aspx?id=86492&amp;rc=83&amp;tr=674"/>
    <hyperlink ref="Q2041" r:id="rId1597" display="http://www.land.gov.il/TozaotMichrazim/resultsDetailed.aspx?id=86493&amp;rc=84&amp;tr=674"/>
    <hyperlink ref="Q2147" r:id="rId1598" display="http://www.land.gov.il/TozaotMichrazim/resultsDetailed.aspx?id=86494&amp;rc=85&amp;tr=674"/>
    <hyperlink ref="Q2037" r:id="rId1599" display="http://www.land.gov.il/TozaotMichrazim/resultsDetailed.aspx?id=86495&amp;rc=86&amp;tr=674"/>
    <hyperlink ref="Q2075" r:id="rId1600" display="http://www.land.gov.il/TozaotMichrazim/resultsDetailed.aspx?id=86496&amp;rc=87&amp;tr=674"/>
    <hyperlink ref="Q2086" r:id="rId1601" display="http://www.land.gov.il/TozaotMichrazim/resultsDetailed.aspx?id=86497&amp;rc=88&amp;tr=674"/>
    <hyperlink ref="Q2104" r:id="rId1602" display="http://www.land.gov.il/TozaotMichrazim/resultsDetailed.aspx?id=86498&amp;rc=89&amp;tr=674"/>
    <hyperlink ref="Q2155" r:id="rId1603" display="http://www.land.gov.il/TozaotMichrazim/resultsDetailed.aspx?id=86499&amp;rc=90&amp;tr=674"/>
    <hyperlink ref="Q2060" r:id="rId1604" display="http://www.land.gov.il/TozaotMichrazim/resultsDetailed.aspx?id=86500&amp;rc=91&amp;tr=674"/>
    <hyperlink ref="Q2078" r:id="rId1605" display="http://www.land.gov.il/TozaotMichrazim/resultsDetailed.aspx?id=86501&amp;rc=92&amp;tr=674"/>
    <hyperlink ref="Q2084" r:id="rId1606" display="http://www.land.gov.il/TozaotMichrazim/resultsDetailed.aspx?id=86502&amp;rc=93&amp;tr=674"/>
    <hyperlink ref="Q2085" r:id="rId1607" display="http://www.land.gov.il/TozaotMichrazim/resultsDetailed.aspx?id=86503&amp;rc=94&amp;tr=674"/>
    <hyperlink ref="Q1999" r:id="rId1608" display="http://www.land.gov.il/TozaotMichrazim/resultsDetailed.aspx?id=86504&amp;rc=95&amp;tr=674"/>
    <hyperlink ref="Q2176" r:id="rId1609" display="http://www.land.gov.il/TozaotMichrazim/resultsDetailed.aspx?id=86505&amp;rc=96&amp;tr=674"/>
    <hyperlink ref="Q2017" r:id="rId1610" display="http://www.land.gov.il/TozaotMichrazim/resultsDetailed.aspx?id=86506&amp;rc=97&amp;tr=674"/>
    <hyperlink ref="Q2177" r:id="rId1611" display="http://www.land.gov.il/TozaotMichrazim/resultsDetailed.aspx?id=86507&amp;rc=98&amp;tr=674"/>
    <hyperlink ref="Q2036" r:id="rId1612" display="http://www.land.gov.il/TozaotMichrazim/resultsDetailed.aspx?id=86508&amp;rc=99&amp;tr=674"/>
    <hyperlink ref="Q2080" r:id="rId1613" display="http://www.land.gov.il/TozaotMichrazim/resultsDetailed.aspx?id=86509&amp;rc=100&amp;tr=674"/>
    <hyperlink ref="Q1994" r:id="rId1614" display="http://www.land.gov.il/TozaotMichrazim/resultsDetailed.aspx?id=86510&amp;rc=101&amp;tr=674"/>
    <hyperlink ref="Q1985" r:id="rId1615" display="http://www.land.gov.il/TozaotMichrazim/resultsDetailed.aspx?id=86511&amp;rc=102&amp;tr=674"/>
    <hyperlink ref="Q1934" r:id="rId1616" display="http://www.land.gov.il/TozaotMichrazim/resultsDetailed.aspx?id=86512&amp;rc=103&amp;tr=674"/>
    <hyperlink ref="Q2097" r:id="rId1617" display="http://www.land.gov.il/TozaotMichrazim/resultsDetailed.aspx?id=86513&amp;rc=104&amp;tr=674"/>
    <hyperlink ref="Q1964" r:id="rId1618" display="http://www.land.gov.il/TozaotMichrazim/resultsDetailed.aspx?id=86514&amp;rc=105&amp;tr=674"/>
    <hyperlink ref="Q1972" r:id="rId1619" display="http://www.land.gov.il/TozaotMichrazim/resultsDetailed.aspx?id=86515&amp;rc=106&amp;tr=674"/>
    <hyperlink ref="Q2178" r:id="rId1620" display="http://www.land.gov.il/TozaotMichrazim/resultsDetailed.aspx?id=86516&amp;rc=107&amp;tr=674"/>
    <hyperlink ref="Q2096" r:id="rId1621" display="http://www.land.gov.il/TozaotMichrazim/resultsDetailed.aspx?id=86517&amp;rc=108&amp;tr=674"/>
    <hyperlink ref="Q1993" r:id="rId1622" display="http://www.land.gov.il/TozaotMichrazim/resultsDetailed.aspx?id=86518&amp;rc=109&amp;tr=674"/>
    <hyperlink ref="Q2098" r:id="rId1623" display="http://www.land.gov.il/TozaotMichrazim/resultsDetailed.aspx?id=86519&amp;rc=110&amp;tr=674"/>
    <hyperlink ref="Q2093" r:id="rId1624" display="http://www.land.gov.il/TozaotMichrazim/resultsDetailed.aspx?id=86520&amp;rc=111&amp;tr=674"/>
    <hyperlink ref="Q2076" r:id="rId1625" display="http://www.land.gov.il/TozaotMichrazim/resultsDetailed.aspx?id=86521&amp;rc=112&amp;tr=674"/>
    <hyperlink ref="Q1992" r:id="rId1626" display="http://www.land.gov.il/TozaotMichrazim/resultsDetailed.aspx?id=86522&amp;rc=113&amp;tr=674"/>
    <hyperlink ref="Q2111" r:id="rId1627" display="http://www.land.gov.il/TozaotMichrazim/resultsDetailed.aspx?id=86523&amp;rc=114&amp;tr=674"/>
    <hyperlink ref="Q2089" r:id="rId1628" display="http://www.land.gov.il/TozaotMichrazim/resultsDetailed.aspx?id=86524&amp;rc=115&amp;tr=674"/>
    <hyperlink ref="Q2064" r:id="rId1629" display="http://www.land.gov.il/TozaotMichrazim/resultsDetailed.aspx?id=86525&amp;rc=116&amp;tr=674"/>
    <hyperlink ref="Q2072" r:id="rId1630" display="http://www.land.gov.il/TozaotMichrazim/resultsDetailed.aspx?id=86526&amp;rc=117&amp;tr=674"/>
    <hyperlink ref="Q1847" r:id="rId1631" display="http://www.land.gov.il/TozaotMichrazim/resultsDetailed.aspx?id=86527&amp;rc=118&amp;tr=674"/>
    <hyperlink ref="Q1991" r:id="rId1632" display="http://www.land.gov.il/TozaotMichrazim/resultsDetailed.aspx?id=86528&amp;rc=119&amp;tr=674"/>
    <hyperlink ref="Q2103" r:id="rId1633" display="http://www.land.gov.il/TozaotMichrazim/resultsDetailed.aspx?id=86529&amp;rc=120&amp;tr=674"/>
    <hyperlink ref="Q2166" r:id="rId1634" display="http://www.land.gov.il/TozaotMichrazim/resultsDetailed.aspx?id=86530&amp;rc=121&amp;tr=674"/>
    <hyperlink ref="Q2054" r:id="rId1635" display="http://www.land.gov.il/TozaotMichrazim/resultsDetailed.aspx?id=86531&amp;rc=122&amp;tr=674"/>
    <hyperlink ref="Q1961" r:id="rId1636" display="http://www.land.gov.il/TozaotMichrazim/resultsDetailed.aspx?id=86532&amp;rc=123&amp;tr=674"/>
    <hyperlink ref="Q2110" r:id="rId1637" display="http://www.land.gov.il/TozaotMichrazim/resultsDetailed.aspx?id=86533&amp;rc=124&amp;tr=674"/>
    <hyperlink ref="Q2007" r:id="rId1638" display="http://www.land.gov.il/TozaotMichrazim/resultsDetailed.aspx?id=86534&amp;rc=125&amp;tr=674"/>
    <hyperlink ref="Q2094" r:id="rId1639" display="http://www.land.gov.il/TozaotMichrazim/resultsDetailed.aspx?id=86535&amp;rc=126&amp;tr=674"/>
    <hyperlink ref="Q2127" r:id="rId1640" display="http://www.land.gov.il/TozaotMichrazim/resultsDetailed.aspx?id=86536&amp;rc=127&amp;tr=674"/>
    <hyperlink ref="Q2150" r:id="rId1641" display="http://www.land.gov.il/TozaotMichrazim/resultsDetailed.aspx?id=86537&amp;rc=128&amp;tr=674"/>
    <hyperlink ref="Q2112" r:id="rId1642" display="http://www.land.gov.il/TozaotMichrazim/resultsDetailed.aspx?id=86538&amp;rc=129&amp;tr=674"/>
    <hyperlink ref="Q2082" r:id="rId1643" display="http://www.land.gov.il/TozaotMichrazim/resultsDetailed.aspx?id=86539&amp;rc=130&amp;tr=674"/>
    <hyperlink ref="Q2038" r:id="rId1644" display="http://www.land.gov.il/TozaotMichrazim/resultsDetailed.aspx?id=86540&amp;rc=131&amp;tr=674"/>
    <hyperlink ref="Q2081" r:id="rId1645" display="http://www.land.gov.il/TozaotMichrazim/resultsDetailed.aspx?id=86541&amp;rc=132&amp;tr=674"/>
    <hyperlink ref="Q2053" r:id="rId1646" display="http://www.land.gov.il/TozaotMichrazim/resultsDetailed.aspx?id=86542&amp;rc=133&amp;tr=674"/>
    <hyperlink ref="Q2055" r:id="rId1647" display="http://www.land.gov.il/TozaotMichrazim/resultsDetailed.aspx?id=86543&amp;rc=134&amp;tr=674"/>
    <hyperlink ref="Q2146" r:id="rId1648" display="http://www.land.gov.il/TozaotMichrazim/resultsDetailed.aspx?id=86544&amp;rc=135&amp;tr=674"/>
    <hyperlink ref="Q2174" r:id="rId1649" display="http://www.land.gov.il/TozaotMichrazim/resultsDetailed.aspx?id=86545&amp;rc=136&amp;tr=674"/>
    <hyperlink ref="Q2148" r:id="rId1650" display="http://www.land.gov.il/TozaotMichrazim/resultsDetailed.aspx?id=86546&amp;rc=137&amp;tr=674"/>
    <hyperlink ref="Q2154" r:id="rId1651" display="http://www.land.gov.il/TozaotMichrazim/resultsDetailed.aspx?id=86547&amp;rc=138&amp;tr=674"/>
    <hyperlink ref="Q2069" r:id="rId1652" display="http://www.land.gov.il/TozaotMichrazim/resultsDetailed.aspx?id=86548&amp;rc=139&amp;tr=674"/>
    <hyperlink ref="Q2070" r:id="rId1653" display="http://www.land.gov.il/TozaotMichrazim/resultsDetailed.aspx?id=86549&amp;rc=140&amp;tr=674"/>
    <hyperlink ref="Q2051" r:id="rId1654" display="http://www.land.gov.il/TozaotMichrazim/resultsDetailed.aspx?id=86550&amp;rc=141&amp;tr=674"/>
    <hyperlink ref="Q2052" r:id="rId1655" display="http://www.land.gov.il/TozaotMichrazim/resultsDetailed.aspx?id=86387&amp;rc=142&amp;tr=674"/>
    <hyperlink ref="Q2056" r:id="rId1656" display="http://www.land.gov.il/TozaotMichrazim/resultsDetailed.aspx?id=86388&amp;rc=143&amp;tr=674"/>
    <hyperlink ref="Q2058" r:id="rId1657" display="http://www.land.gov.il/TozaotMichrazim/resultsDetailed.aspx?id=86389&amp;rc=144&amp;tr=674"/>
    <hyperlink ref="Q2035" r:id="rId1658" display="http://www.land.gov.il/TozaotMichrazim/resultsDetailed.aspx?id=86390&amp;rc=145&amp;tr=674"/>
    <hyperlink ref="Q2068" r:id="rId1659" display="http://www.land.gov.il/TozaotMichrazim/resultsDetailed.aspx?id=86391&amp;rc=146&amp;tr=674"/>
    <hyperlink ref="Q2136" r:id="rId1660" display="http://www.land.gov.il/TozaotMichrazim/resultsDetailed.aspx?id=86208&amp;rc=147&amp;tr=674"/>
    <hyperlink ref="Q1737" r:id="rId1661" display="http://www.land.gov.il/TozaotMichrazim/resultsDetailed.aspx?id=86250&amp;rc=148&amp;tr=674"/>
    <hyperlink ref="Q1736" r:id="rId1662" display="http://www.land.gov.il/TozaotMichrazim/resultsDetailed.aspx?id=86252&amp;rc=150&amp;tr=674"/>
    <hyperlink ref="Q1735" r:id="rId1663" display="http://www.land.gov.il/TozaotMichrazim/resultsDetailed.aspx?id=85635&amp;rc=152&amp;tr=674"/>
    <hyperlink ref="Q1734" r:id="rId1664" display="http://www.land.gov.il/TozaotMichrazim/resultsDetailed.aspx?id=85637&amp;rc=154&amp;tr=674"/>
    <hyperlink ref="Q1958" r:id="rId1665" display="http://www.land.gov.il/TozaotMichrazim/resultsDetailed.aspx?id=84693&amp;rc=155&amp;tr=674"/>
    <hyperlink ref="Q2135" r:id="rId1666" display="http://www.land.gov.il/TozaotMichrazim/resultsDetailed.aspx?id=84694&amp;rc=156&amp;tr=674"/>
    <hyperlink ref="Q2079" r:id="rId1667" display="http://www.land.gov.il/TozaotMichrazim/resultsDetailed.aspx?id=84695&amp;rc=157&amp;tr=674"/>
    <hyperlink ref="Q1969" r:id="rId1668" display="http://www.land.gov.il/TozaotMichrazim/resultsDetailed.aspx?id=84696&amp;rc=158&amp;tr=674"/>
    <hyperlink ref="Q1970" r:id="rId1669" display="http://www.land.gov.il/TozaotMichrazim/resultsDetailed.aspx?id=84697&amp;rc=159&amp;tr=674"/>
    <hyperlink ref="Q2048" r:id="rId1670" display="http://www.land.gov.il/TozaotMichrazim/resultsDetailed.aspx?id=84698&amp;rc=160&amp;tr=674"/>
    <hyperlink ref="Q1974" r:id="rId1671" display="http://www.land.gov.il/TozaotMichrazim/resultsDetailed.aspx?id=84699&amp;rc=161&amp;tr=674"/>
    <hyperlink ref="Q2027" r:id="rId1672" display="http://www.land.gov.il/TozaotMichrazim/resultsDetailed.aspx?id=84700&amp;rc=162&amp;tr=674"/>
    <hyperlink ref="Q2011" r:id="rId1673" display="http://www.land.gov.il/TozaotMichrazim/resultsDetailed.aspx?id=84701&amp;rc=163&amp;tr=674"/>
    <hyperlink ref="Q2022" r:id="rId1674" display="http://www.land.gov.il/TozaotMichrazim/resultsDetailed.aspx?id=84702&amp;rc=164&amp;tr=674"/>
    <hyperlink ref="Q1829" r:id="rId1675" display="http://www.land.gov.il/TozaotMichrazim/resultsDetailed.aspx?id=84703&amp;rc=165&amp;tr=674"/>
    <hyperlink ref="Q2189" r:id="rId1676" display="http://www.land.gov.il/TozaotMichrazim/resultsDetailed.aspx?id=84602&amp;rc=166&amp;tr=674"/>
    <hyperlink ref="Q2145" r:id="rId1677" display="http://www.land.gov.il/TozaotMichrazim/resultsDetailed.aspx?id=84589&amp;rc=167&amp;tr=674"/>
    <hyperlink ref="Q2169" r:id="rId1678" display="http://www.land.gov.il/TozaotMichrazim/resultsDetailed.aspx?id=84590&amp;rc=168&amp;tr=674"/>
    <hyperlink ref="Q2140" r:id="rId1679" display="http://www.land.gov.il/TozaotMichrazim/resultsDetailed.aspx?id=84591&amp;rc=169&amp;tr=674"/>
    <hyperlink ref="Q1921" r:id="rId1680" display="http://www.land.gov.il/TozaotMichrazim/resultsDetailed.aspx?id=85601&amp;rc=171&amp;tr=674"/>
    <hyperlink ref="Q1753" r:id="rId1681" display="http://www.land.gov.il/TozaotMichrazim/resultsDetailed.aspx?id=85602&amp;rc=172&amp;tr=674"/>
    <hyperlink ref="Q1885" r:id="rId1682" display="http://www.land.gov.il/TozaotMichrazim/resultsDetailed.aspx?id=85604&amp;rc=174&amp;tr=674"/>
    <hyperlink ref="Q2108" r:id="rId1683" display="http://www.land.gov.il/TozaotMichrazim/resultsDetailed.aspx?id=83828&amp;rc=191&amp;tr=674"/>
    <hyperlink ref="Q2179" r:id="rId1684" display="http://www.land.gov.il/TozaotMichrazim/resultsDetailed.aspx?id=83829&amp;rc=192&amp;tr=674"/>
    <hyperlink ref="Q2134" r:id="rId1685" display="http://www.land.gov.il/TozaotMichrazim/resultsDetailed.aspx?id=83830&amp;rc=193&amp;tr=674"/>
    <hyperlink ref="Q2172" r:id="rId1686" display="http://www.land.gov.il/TozaotMichrazim/resultsDetailed.aspx?id=83831&amp;rc=194&amp;tr=674"/>
    <hyperlink ref="Q2095" r:id="rId1687" display="http://www.land.gov.il/TozaotMichrazim/resultsDetailed.aspx?id=83832&amp;rc=195&amp;tr=674"/>
    <hyperlink ref="Q2117" r:id="rId1688" display="http://www.land.gov.il/TozaotMichrazim/resultsDetailed.aspx?id=83833&amp;rc=196&amp;tr=674"/>
    <hyperlink ref="Q2143" r:id="rId1689" display="http://www.land.gov.il/TozaotMichrazim/resultsDetailed.aspx?id=83834&amp;rc=197&amp;tr=674"/>
    <hyperlink ref="Q2159" r:id="rId1690" display="http://www.land.gov.il/TozaotMichrazim/resultsDetailed.aspx?id=83835&amp;rc=198&amp;tr=674"/>
    <hyperlink ref="Q2105" r:id="rId1691" display="http://www.land.gov.il/TozaotMichrazim/resultsDetailed.aspx?id=83836&amp;rc=199&amp;tr=674"/>
    <hyperlink ref="Q2193" r:id="rId1692" display="http://www.land.gov.il/TozaotMichrazim/resultsDetailed.aspx?id=83385&amp;rc=200&amp;tr=674"/>
    <hyperlink ref="Q2186" r:id="rId1693" display="http://www.land.gov.il/TozaotMichrazim/resultsDetailed.aspx?id=83386&amp;rc=201&amp;tr=674"/>
    <hyperlink ref="Q2195" r:id="rId1694" display="http://www.land.gov.il/TozaotMichrazim/resultsDetailed.aspx?id=83387&amp;rc=202&amp;tr=674"/>
    <hyperlink ref="Q2198" r:id="rId1695" display="http://www.land.gov.il/TozaotMichrazim/resultsDetailed.aspx?id=83388&amp;rc=203&amp;tr=674"/>
    <hyperlink ref="Q1910" r:id="rId1696" display="http://www.land.gov.il/TozaotMichrazim/resultsDetailed.aspx?id=81271&amp;rc=204&amp;tr=674"/>
    <hyperlink ref="Q1769" r:id="rId1697" display="http://www.land.gov.il/TozaotMichrazim/resultsDetailed.aspx?id=81272&amp;rc=205&amp;tr=674"/>
    <hyperlink ref="Q1823" r:id="rId1698" display="http://www.land.gov.il/TozaotMichrazim/resultsDetailed.aspx?id=81273&amp;rc=206&amp;tr=674"/>
    <hyperlink ref="Q1894" r:id="rId1699" display="http://www.land.gov.il/TozaotMichrazim/resultsDetailed.aspx?id=81274&amp;rc=207&amp;tr=674"/>
    <hyperlink ref="Q1798" r:id="rId1700" display="http://www.land.gov.il/TozaotMichrazim/resultsDetailed.aspx?id=81276&amp;rc=209&amp;tr=674"/>
    <hyperlink ref="Q1933" r:id="rId1701" display="http://www.land.gov.il/TozaotMichrazim/resultsDetailed.aspx?id=81277&amp;rc=210&amp;tr=674"/>
    <hyperlink ref="Q1835" r:id="rId1702" display="http://www.land.gov.il/TozaotMichrazim/resultsDetailed.aspx?id=81278&amp;rc=211&amp;tr=674"/>
    <hyperlink ref="Q1998" r:id="rId1703" display="http://www.land.gov.il/TozaotMichrazim/resultsDetailed.aspx?id=81279&amp;rc=212&amp;tr=674"/>
    <hyperlink ref="Q1783" r:id="rId1704" display="http://www.land.gov.il/TozaotMichrazim/resultsDetailed.aspx?id=81280&amp;rc=213&amp;tr=674"/>
    <hyperlink ref="Q1754" r:id="rId1705" display="http://www.land.gov.il/TozaotMichrazim/resultsDetailed.aspx?id=81281&amp;rc=214&amp;tr=674"/>
    <hyperlink ref="Q1852" r:id="rId1706" display="http://www.land.gov.il/TozaotMichrazim/resultsDetailed.aspx?id=81283&amp;rc=216&amp;tr=674"/>
    <hyperlink ref="Q1763" r:id="rId1707" display="http://www.land.gov.il/TozaotMichrazim/resultsDetailed.aspx?id=81284&amp;rc=217&amp;tr=674"/>
    <hyperlink ref="Q1786" r:id="rId1708" display="http://www.land.gov.il/TozaotMichrazim/resultsDetailed.aspx?id=81285&amp;rc=218&amp;tr=674"/>
    <hyperlink ref="Q1767" r:id="rId1709" display="http://www.land.gov.il/TozaotMichrazim/resultsDetailed.aspx?id=81287&amp;rc=220&amp;tr=674"/>
    <hyperlink ref="Q1822" r:id="rId1710" display="http://www.land.gov.il/TozaotMichrazim/resultsDetailed.aspx?id=81288&amp;rc=221&amp;tr=674"/>
    <hyperlink ref="Q1738" r:id="rId1711" display="http://www.land.gov.il/TozaotMichrazim/resultsDetailed.aspx?id=81290&amp;rc=223&amp;tr=674"/>
    <hyperlink ref="Q1865" r:id="rId1712" display="http://www.land.gov.il/TozaotMichrazim/resultsDetailed.aspx?id=81291&amp;rc=224&amp;tr=674"/>
    <hyperlink ref="Q1843" r:id="rId1713" display="http://www.land.gov.il/TozaotMichrazim/resultsDetailed.aspx?id=81292&amp;rc=225&amp;tr=674"/>
    <hyperlink ref="Q1787" r:id="rId1714" display="http://www.land.gov.il/TozaotMichrazim/resultsDetailed.aspx?id=81293&amp;rc=226&amp;tr=674"/>
    <hyperlink ref="Q1906" r:id="rId1715" display="http://www.land.gov.il/TozaotMichrazim/resultsDetailed.aspx?id=81294&amp;rc=227&amp;tr=674"/>
    <hyperlink ref="Q1803" r:id="rId1716" display="http://www.land.gov.il/TozaotMichrazim/resultsDetailed.aspx?id=81295&amp;rc=228&amp;tr=674"/>
    <hyperlink ref="Q1791" r:id="rId1717" display="http://www.land.gov.il/TozaotMichrazim/resultsDetailed.aspx?id=81296&amp;rc=229&amp;tr=674"/>
    <hyperlink ref="Q1802" r:id="rId1718" display="http://www.land.gov.il/TozaotMichrazim/resultsDetailed.aspx?id=81297&amp;rc=230&amp;tr=674"/>
    <hyperlink ref="Q1978" r:id="rId1719" display="http://www.land.gov.il/TozaotMichrazim/resultsDetailed.aspx?id=81298&amp;rc=231&amp;tr=674"/>
    <hyperlink ref="Q1858" r:id="rId1720" display="http://www.land.gov.il/TozaotMichrazim/resultsDetailed.aspx?id=81299&amp;rc=232&amp;tr=674"/>
    <hyperlink ref="Q1773" r:id="rId1721" display="http://www.land.gov.il/TozaotMichrazim/resultsDetailed.aspx?id=81300&amp;rc=233&amp;tr=674"/>
    <hyperlink ref="Q1807" r:id="rId1722" display="http://www.land.gov.il/TozaotMichrazim/resultsDetailed.aspx?id=81301&amp;rc=234&amp;tr=674"/>
    <hyperlink ref="Q1808" r:id="rId1723" display="http://www.land.gov.il/TozaotMichrazim/resultsDetailed.aspx?id=81302&amp;rc=235&amp;tr=674"/>
    <hyperlink ref="Q1757" r:id="rId1724" display="http://www.land.gov.il/TozaotMichrazim/resultsDetailed.aspx?id=81303&amp;rc=236&amp;tr=674"/>
    <hyperlink ref="Q1919" r:id="rId1725" display="http://www.land.gov.il/TozaotMichrazim/resultsDetailed.aspx?id=81304&amp;rc=237&amp;tr=674"/>
    <hyperlink ref="Q1794" r:id="rId1726" display="http://www.land.gov.il/TozaotMichrazim/resultsDetailed.aspx?id=81305&amp;rc=238&amp;tr=674"/>
    <hyperlink ref="Q1815" r:id="rId1727" display="http://www.land.gov.il/TozaotMichrazim/resultsDetailed.aspx?id=81306&amp;rc=239&amp;tr=674"/>
    <hyperlink ref="Q1748" r:id="rId1728" display="http://www.land.gov.il/TozaotMichrazim/resultsDetailed.aspx?id=81307&amp;rc=240&amp;tr=674"/>
    <hyperlink ref="Q1800" r:id="rId1729" display="http://www.land.gov.il/TozaotMichrazim/resultsDetailed.aspx?id=81308&amp;rc=241&amp;tr=674"/>
    <hyperlink ref="Q1916" r:id="rId1730" display="http://www.land.gov.il/TozaotMichrazim/resultsDetailed.aspx?id=81309&amp;rc=242&amp;tr=674"/>
    <hyperlink ref="Q1785" r:id="rId1731" display="http://www.land.gov.il/TozaotMichrazim/resultsDetailed.aspx?id=81310&amp;rc=243&amp;tr=674"/>
    <hyperlink ref="Q1824" r:id="rId1732" display="http://www.land.gov.il/TozaotMichrazim/resultsDetailed.aspx?id=81312&amp;rc=245&amp;tr=674"/>
    <hyperlink ref="Q1831" r:id="rId1733" display="http://www.land.gov.il/TozaotMichrazim/resultsDetailed.aspx?id=81313&amp;rc=246&amp;tr=674"/>
    <hyperlink ref="Q1832" r:id="rId1734" display="http://www.land.gov.il/TozaotMichrazim/resultsDetailed.aspx?id=81314&amp;rc=247&amp;tr=674"/>
    <hyperlink ref="Q1801" r:id="rId1735" display="http://www.land.gov.il/TozaotMichrazim/resultsDetailed.aspx?id=81315&amp;rc=248&amp;tr=674"/>
    <hyperlink ref="Q1817" r:id="rId1736" display="http://www.land.gov.il/TozaotMichrazim/resultsDetailed.aspx?id=81316&amp;rc=249&amp;tr=674"/>
    <hyperlink ref="Q1950" r:id="rId1737" display="http://www.land.gov.il/TozaotMichrazim/resultsDetailed.aspx?id=81317&amp;rc=250&amp;tr=674"/>
    <hyperlink ref="Q1805" r:id="rId1738" display="http://www.land.gov.il/TozaotMichrazim/resultsDetailed.aspx?id=81318&amp;rc=251&amp;tr=674"/>
    <hyperlink ref="Q1857" r:id="rId1739" display="http://www.land.gov.il/TozaotMichrazim/resultsDetailed.aspx?id=81319&amp;rc=252&amp;tr=674"/>
    <hyperlink ref="Q1851" r:id="rId1740" display="http://www.land.gov.il/TozaotMichrazim/resultsDetailed.aspx?id=81320&amp;rc=253&amp;tr=674"/>
    <hyperlink ref="Q1948" r:id="rId1741" display="http://www.land.gov.il/TozaotMichrazim/resultsDetailed.aspx?id=81321&amp;rc=254&amp;tr=674"/>
    <hyperlink ref="Q1875" r:id="rId1742" display="http://www.land.gov.il/TozaotMichrazim/resultsDetailed.aspx?id=81322&amp;rc=255&amp;tr=674"/>
    <hyperlink ref="Q1747" r:id="rId1743" display="http://www.land.gov.il/TozaotMichrazim/resultsDetailed.aspx?id=81323&amp;rc=256&amp;tr=674"/>
    <hyperlink ref="Q1789" r:id="rId1744" display="http://www.land.gov.il/TozaotMichrazim/resultsDetailed.aspx?id=81324&amp;rc=257&amp;tr=674"/>
    <hyperlink ref="Q1752" r:id="rId1745" display="http://www.land.gov.il/TozaotMichrazim/resultsDetailed.aspx?id=81325&amp;rc=258&amp;tr=674"/>
    <hyperlink ref="Q1743" r:id="rId1746" display="http://www.land.gov.il/TozaotMichrazim/resultsDetailed.aspx?id=81326&amp;rc=259&amp;tr=674"/>
    <hyperlink ref="Q1828" r:id="rId1747" display="http://www.land.gov.il/TozaotMichrazim/resultsDetailed.aspx?id=81327&amp;rc=260&amp;tr=674"/>
    <hyperlink ref="Q1758" r:id="rId1748" display="http://www.land.gov.il/TozaotMichrazim/resultsDetailed.aspx?id=81328&amp;rc=261&amp;tr=674"/>
    <hyperlink ref="Q1830" r:id="rId1749" display="http://www.land.gov.il/TozaotMichrazim/resultsDetailed.aspx?id=81329&amp;rc=262&amp;tr=674"/>
    <hyperlink ref="Q1820" r:id="rId1750" display="http://www.land.gov.il/TozaotMichrazim/resultsDetailed.aspx?id=81330&amp;rc=263&amp;tr=674"/>
    <hyperlink ref="Q1795" r:id="rId1751" display="http://www.land.gov.il/TozaotMichrazim/resultsDetailed.aspx?id=81331&amp;rc=264&amp;tr=674"/>
    <hyperlink ref="Q1739" r:id="rId1752" display="http://www.land.gov.il/TozaotMichrazim/resultsDetailed.aspx?id=81332&amp;rc=265&amp;tr=674"/>
    <hyperlink ref="Q1981" r:id="rId1753" display="http://www.land.gov.il/TozaotMichrazim/resultsDetailed.aspx?id=81333&amp;rc=266&amp;tr=674"/>
    <hyperlink ref="Q1863" r:id="rId1754" display="http://www.land.gov.il/TozaotMichrazim/resultsDetailed.aspx?id=81334&amp;rc=267&amp;tr=674"/>
    <hyperlink ref="Q1792" r:id="rId1755" display="http://www.land.gov.il/TozaotMichrazim/resultsDetailed.aspx?id=81335&amp;rc=268&amp;tr=674"/>
    <hyperlink ref="Q1874" r:id="rId1756" display="http://www.land.gov.il/TozaotMichrazim/resultsDetailed.aspx?id=81336&amp;rc=269&amp;tr=674"/>
    <hyperlink ref="Q1837" r:id="rId1757" display="http://www.land.gov.il/TozaotMichrazim/resultsDetailed.aspx?id=81337&amp;rc=270&amp;tr=674"/>
    <hyperlink ref="Q1765" r:id="rId1758" display="http://www.land.gov.il/TozaotMichrazim/resultsDetailed.aspx?id=81338&amp;rc=271&amp;tr=674"/>
    <hyperlink ref="Q1953" r:id="rId1759" display="http://www.land.gov.il/TozaotMichrazim/resultsDetailed.aspx?id=81339&amp;rc=272&amp;tr=674"/>
    <hyperlink ref="Q1780" r:id="rId1760" display="http://www.land.gov.il/TozaotMichrazim/resultsDetailed.aspx?id=81340&amp;rc=273&amp;tr=674"/>
    <hyperlink ref="Q1790" r:id="rId1761" display="http://www.land.gov.il/TozaotMichrazim/resultsDetailed.aspx?id=81341&amp;rc=274&amp;tr=674"/>
    <hyperlink ref="Q1771" r:id="rId1762" display="http://www.land.gov.il/TozaotMichrazim/resultsDetailed.aspx?id=81342&amp;rc=275&amp;tr=674"/>
    <hyperlink ref="Q1774" r:id="rId1763" display="http://www.land.gov.il/TozaotMichrazim/resultsDetailed.aspx?id=81343&amp;rc=276&amp;tr=674"/>
    <hyperlink ref="Q1900" r:id="rId1764" display="http://www.land.gov.il/TozaotMichrazim/resultsDetailed.aspx?id=81344&amp;rc=277&amp;tr=674"/>
    <hyperlink ref="Q1768" r:id="rId1765" display="http://www.land.gov.il/TozaotMichrazim/resultsDetailed.aspx?id=81345&amp;rc=278&amp;tr=674"/>
    <hyperlink ref="Q1759" r:id="rId1766" display="http://www.land.gov.il/TozaotMichrazim/resultsDetailed.aspx?id=81346&amp;rc=279&amp;tr=674"/>
    <hyperlink ref="Q1764" r:id="rId1767" display="http://www.land.gov.il/TozaotMichrazim/resultsDetailed.aspx?id=81347&amp;rc=280&amp;tr=674"/>
    <hyperlink ref="Q1770" r:id="rId1768" display="http://www.land.gov.il/TozaotMichrazim/resultsDetailed.aspx?id=81348&amp;rc=281&amp;tr=674"/>
    <hyperlink ref="Q1905" r:id="rId1769" display="http://www.land.gov.il/TozaotMichrazim/resultsDetailed.aspx?id=81349&amp;rc=282&amp;tr=674"/>
    <hyperlink ref="Q1903" r:id="rId1770" display="http://www.land.gov.il/TozaotMichrazim/resultsDetailed.aspx?id=81350&amp;rc=283&amp;tr=674"/>
    <hyperlink ref="Q1781" r:id="rId1771" display="http://www.land.gov.il/TozaotMichrazim/resultsDetailed.aspx?id=81351&amp;rc=284&amp;tr=674"/>
    <hyperlink ref="Q1932" r:id="rId1772" display="http://www.land.gov.il/TozaotMichrazim/resultsDetailed.aspx?id=81352&amp;rc=285&amp;tr=674"/>
    <hyperlink ref="Q1819" r:id="rId1773" display="http://www.land.gov.il/TozaotMichrazim/resultsDetailed.aspx?id=81353&amp;rc=286&amp;tr=674"/>
    <hyperlink ref="Q1749" r:id="rId1774" display="http://www.land.gov.il/TozaotMichrazim/resultsDetailed.aspx?id=81355&amp;rc=288&amp;tr=674"/>
    <hyperlink ref="Q1782" r:id="rId1775" display="http://www.land.gov.il/TozaotMichrazim/resultsDetailed.aspx?id=81356&amp;rc=289&amp;tr=674"/>
    <hyperlink ref="Q1834" r:id="rId1776" display="http://www.land.gov.il/TozaotMichrazim/resultsDetailed.aspx?id=81357&amp;rc=290&amp;tr=674"/>
    <hyperlink ref="Q1776" r:id="rId1777" display="http://www.land.gov.il/TozaotMichrazim/resultsDetailed.aspx?id=81358&amp;rc=291&amp;tr=674"/>
    <hyperlink ref="Q1745" r:id="rId1778" display="http://www.land.gov.il/TozaotMichrazim/resultsDetailed.aspx?id=81359&amp;rc=292&amp;tr=674"/>
    <hyperlink ref="Q1762" r:id="rId1779" display="http://www.land.gov.il/TozaotMichrazim/resultsDetailed.aspx?id=81360&amp;rc=293&amp;tr=674"/>
    <hyperlink ref="Q1827" r:id="rId1780" display="http://www.land.gov.il/TozaotMichrazim/resultsDetailed.aspx?id=81361&amp;rc=294&amp;tr=674"/>
    <hyperlink ref="Q2164" r:id="rId1781" display="http://www.land.gov.il/TozaotMichrazim/resultsDetailed.aspx?id=81362&amp;rc=295&amp;tr=674"/>
    <hyperlink ref="Q1796" r:id="rId1782" display="http://www.land.gov.il/TozaotMichrazim/resultsDetailed.aspx?id=81363&amp;rc=296&amp;tr=674"/>
    <hyperlink ref="Q1855" r:id="rId1783" display="http://www.land.gov.il/TozaotMichrazim/resultsDetailed.aspx?id=81365&amp;rc=298&amp;tr=674"/>
    <hyperlink ref="Q1854" r:id="rId1784" display="http://www.land.gov.il/TozaotMichrazim/resultsDetailed.aspx?id=81366&amp;rc=299&amp;tr=674"/>
    <hyperlink ref="Q1814" r:id="rId1785" display="http://www.land.gov.il/TozaotMichrazim/resultsDetailed.aspx?id=81367&amp;rc=300&amp;tr=674"/>
    <hyperlink ref="Q1928" r:id="rId1786" display="http://www.land.gov.il/TozaotMichrazim/resultsDetailed.aspx?id=81369&amp;rc=302&amp;tr=674"/>
    <hyperlink ref="Q1884" r:id="rId1787" display="http://www.land.gov.il/TozaotMichrazim/resultsDetailed.aspx?id=81370&amp;rc=303&amp;tr=674"/>
    <hyperlink ref="Q1784" r:id="rId1788" display="http://www.land.gov.il/TozaotMichrazim/resultsDetailed.aspx?id=81371&amp;rc=304&amp;tr=674"/>
    <hyperlink ref="Q1746" r:id="rId1789" display="http://www.land.gov.il/TozaotMichrazim/resultsDetailed.aspx?id=81372&amp;rc=305&amp;tr=674"/>
    <hyperlink ref="Q1761" r:id="rId1790" display="http://www.land.gov.il/TozaotMichrazim/resultsDetailed.aspx?id=81373&amp;rc=306&amp;tr=674"/>
    <hyperlink ref="Q1756" r:id="rId1791" display="http://www.land.gov.il/TozaotMichrazim/resultsDetailed.aspx?id=81374&amp;rc=307&amp;tr=674"/>
    <hyperlink ref="Q1766" r:id="rId1792" display="http://www.land.gov.il/TozaotMichrazim/resultsDetailed.aspx?id=81375&amp;rc=308&amp;tr=674"/>
    <hyperlink ref="Q1883" r:id="rId1793" display="http://www.land.gov.il/TozaotMichrazim/resultsDetailed.aspx?id=81376&amp;rc=309&amp;tr=674"/>
    <hyperlink ref="Q1816" r:id="rId1794" display="http://www.land.gov.il/TozaotMichrazim/resultsDetailed.aspx?id=81377&amp;rc=310&amp;tr=674"/>
    <hyperlink ref="Q1844" r:id="rId1795" display="http://www.land.gov.il/TozaotMichrazim/resultsDetailed.aspx?id=81378&amp;rc=311&amp;tr=674"/>
    <hyperlink ref="Q1955" r:id="rId1796" display="http://www.land.gov.il/TozaotMichrazim/resultsDetailed.aspx?id=81379&amp;rc=312&amp;tr=674"/>
    <hyperlink ref="Q1902" r:id="rId1797" display="http://www.land.gov.il/TozaotMichrazim/resultsDetailed.aspx?id=81380&amp;rc=313&amp;tr=674"/>
    <hyperlink ref="Q1848" r:id="rId1798" display="http://www.land.gov.il/TozaotMichrazim/resultsDetailed.aspx?id=81381&amp;rc=314&amp;tr=674"/>
    <hyperlink ref="Q1838" r:id="rId1799" display="http://www.land.gov.il/TozaotMichrazim/resultsDetailed.aspx?id=81382&amp;rc=315&amp;tr=674"/>
    <hyperlink ref="Q1840" r:id="rId1800" display="http://www.land.gov.il/TozaotMichrazim/resultsDetailed.aspx?id=81383&amp;rc=316&amp;tr=674"/>
    <hyperlink ref="Q1777" r:id="rId1801" display="http://www.land.gov.il/TozaotMichrazim/resultsDetailed.aspx?id=81384&amp;rc=317&amp;tr=674"/>
    <hyperlink ref="Q1797" r:id="rId1802" display="http://www.land.gov.il/TozaotMichrazim/resultsDetailed.aspx?id=81385&amp;rc=318&amp;tr=674"/>
    <hyperlink ref="Q1839" r:id="rId1803" display="http://www.land.gov.il/TozaotMichrazim/resultsDetailed.aspx?id=81386&amp;rc=319&amp;tr=674"/>
    <hyperlink ref="Q1779" r:id="rId1804" display="http://www.land.gov.il/TozaotMichrazim/resultsDetailed.aspx?id=81387&amp;rc=320&amp;tr=674"/>
    <hyperlink ref="Q1778" r:id="rId1805" display="http://www.land.gov.il/TozaotMichrazim/resultsDetailed.aspx?id=81388&amp;rc=321&amp;tr=674"/>
    <hyperlink ref="Q1929" r:id="rId1806" display="http://www.land.gov.il/TozaotMichrazim/resultsDetailed.aspx?id=81389&amp;rc=322&amp;tr=674"/>
    <hyperlink ref="Q1917" r:id="rId1807" display="http://www.land.gov.il/TozaotMichrazim/resultsDetailed.aspx?id=81390&amp;rc=323&amp;tr=674"/>
    <hyperlink ref="Q1846" r:id="rId1808" display="http://www.land.gov.il/TozaotMichrazim/resultsDetailed.aspx?id=81391&amp;rc=324&amp;tr=674"/>
    <hyperlink ref="Q1742" r:id="rId1809" display="http://www.land.gov.il/TozaotMichrazim/resultsDetailed.aspx?id=81392&amp;rc=325&amp;tr=674"/>
    <hyperlink ref="Q1751" r:id="rId1810" display="http://www.land.gov.il/TozaotMichrazim/resultsDetailed.aspx?id=81393&amp;rc=326&amp;tr=674"/>
    <hyperlink ref="Q1741" r:id="rId1811" display="http://www.land.gov.il/TozaotMichrazim/resultsDetailed.aspx?id=81394&amp;rc=327&amp;tr=674"/>
    <hyperlink ref="Q1775" r:id="rId1812" display="http://www.land.gov.il/TozaotMichrazim/resultsDetailed.aspx?id=81395&amp;rc=328&amp;tr=674"/>
    <hyperlink ref="Q1750" r:id="rId1813" display="http://www.land.gov.il/TozaotMichrazim/resultsDetailed.aspx?id=81396&amp;rc=329&amp;tr=674"/>
    <hyperlink ref="Q1862" r:id="rId1814" display="http://www.land.gov.il/TozaotMichrazim/resultsDetailed.aspx?id=81397&amp;rc=330&amp;tr=674"/>
    <hyperlink ref="Q1982" r:id="rId1815" display="http://www.land.gov.il/TozaotMichrazim/resultsDetailed.aspx?id=81398&amp;rc=331&amp;tr=674"/>
    <hyperlink ref="Q1760" r:id="rId1816" display="http://www.land.gov.il/TozaotMichrazim/resultsDetailed.aspx?id=81399&amp;rc=332&amp;tr=674"/>
    <hyperlink ref="Q1788" r:id="rId1817" display="http://www.land.gov.il/TozaotMichrazim/resultsDetailed.aspx?id=81400&amp;rc=333&amp;tr=674"/>
    <hyperlink ref="Q1772" r:id="rId1818" display="http://www.land.gov.il/TozaotMichrazim/resultsDetailed.aspx?id=81401&amp;rc=334&amp;tr=674"/>
    <hyperlink ref="Q1755" r:id="rId1819" display="http://www.land.gov.il/TozaotMichrazim/resultsDetailed.aspx?id=81402&amp;rc=335&amp;tr=674"/>
    <hyperlink ref="Q2034" r:id="rId1820" display="http://www.land.gov.il/TozaotMichrazim/resultsDetailed.aspx?id=81403&amp;rc=336&amp;tr=674"/>
    <hyperlink ref="Q1936" r:id="rId1821" display="http://www.land.gov.il/TozaotMichrazim/resultsDetailed.aspx?id=81404&amp;rc=337&amp;tr=674"/>
    <hyperlink ref="Q2026" r:id="rId1822" display="http://www.land.gov.il/TozaotMichrazim/resultsDetailed.aspx?id=81405&amp;rc=338&amp;tr=674"/>
    <hyperlink ref="Q2016" r:id="rId1823" display="http://www.land.gov.il/TozaotMichrazim/resultsDetailed.aspx?id=81406&amp;rc=339&amp;tr=674"/>
    <hyperlink ref="Q1866" r:id="rId1824" display="http://www.land.gov.il/TozaotMichrazim/resultsDetailed.aspx?id=81407&amp;rc=340&amp;tr=674"/>
    <hyperlink ref="Q1962" r:id="rId1825" display="http://www.land.gov.il/TozaotMichrazim/resultsDetailed.aspx?id=81408&amp;rc=341&amp;tr=674"/>
    <hyperlink ref="Q1826" r:id="rId1826" display="http://www.land.gov.il/TozaotMichrazim/resultsDetailed.aspx?id=81409&amp;rc=342&amp;tr=674"/>
    <hyperlink ref="Q1979" r:id="rId1827" display="http://www.land.gov.il/TozaotMichrazim/resultsDetailed.aspx?id=81410&amp;rc=343&amp;tr=674"/>
    <hyperlink ref="Q2000" r:id="rId1828" display="http://www.land.gov.il/TozaotMichrazim/resultsDetailed.aspx?id=81411&amp;rc=344&amp;tr=674"/>
    <hyperlink ref="Q2045" r:id="rId1829" display="http://www.land.gov.il/TozaotMichrazim/resultsDetailed.aspx?id=81412&amp;rc=345&amp;tr=674"/>
    <hyperlink ref="Q2006" r:id="rId1830" display="http://www.land.gov.il/TozaotMichrazim/resultsDetailed.aspx?id=81413&amp;rc=346&amp;tr=674"/>
    <hyperlink ref="Q1908" r:id="rId1831" display="http://www.land.gov.il/TozaotMichrazim/resultsDetailed.aspx?id=81414&amp;rc=347&amp;tr=674"/>
    <hyperlink ref="Q1935" r:id="rId1832" display="http://www.land.gov.il/TozaotMichrazim/resultsDetailed.aspx?id=81415&amp;rc=348&amp;tr=674"/>
    <hyperlink ref="Q1871" r:id="rId1833" display="http://www.land.gov.il/TozaotMichrazim/resultsDetailed.aspx?id=81416&amp;rc=349&amp;tr=674"/>
    <hyperlink ref="Q1909" r:id="rId1834" display="http://www.land.gov.il/TozaotMichrazim/resultsDetailed.aspx?id=79914&amp;rc=350&amp;tr=674"/>
    <hyperlink ref="Q2031" r:id="rId1835" display="http://www.land.gov.il/TozaotMichrazim/resultsDetailed.aspx?id=79915&amp;rc=351&amp;tr=674"/>
    <hyperlink ref="Q1938" r:id="rId1836" display="http://www.land.gov.il/TozaotMichrazim/resultsDetailed.aspx?id=79916&amp;rc=352&amp;tr=674"/>
    <hyperlink ref="Q2019" r:id="rId1837" display="http://www.land.gov.il/TozaotMichrazim/resultsDetailed.aspx?id=79917&amp;rc=353&amp;tr=674"/>
    <hyperlink ref="Q2115" r:id="rId1838" display="http://www.land.gov.il/TozaotMichrazim/resultsDetailed.aspx?id=79918&amp;rc=354&amp;tr=674"/>
    <hyperlink ref="Q1867" r:id="rId1839" display="http://www.land.gov.il/TozaotMichrazim/resultsDetailed.aspx?id=79919&amp;rc=355&amp;tr=674"/>
    <hyperlink ref="Q1872" r:id="rId1840" display="http://www.land.gov.il/TozaotMichrazim/resultsDetailed.aspx?id=79920&amp;rc=356&amp;tr=674"/>
    <hyperlink ref="Q1870" r:id="rId1841" display="http://www.land.gov.il/TozaotMichrazim/resultsDetailed.aspx?id=79921&amp;rc=357&amp;tr=674"/>
    <hyperlink ref="Q1939" r:id="rId1842" display="http://www.land.gov.il/TozaotMichrazim/resultsDetailed.aspx?id=79922&amp;rc=358&amp;tr=674"/>
    <hyperlink ref="Q1799" r:id="rId1843" display="http://www.land.gov.il/TozaotMichrazim/resultsDetailed.aspx?id=79923&amp;rc=359&amp;tr=674"/>
    <hyperlink ref="Q1882" r:id="rId1844" display="http://www.land.gov.il/TozaotMichrazim/resultsDetailed.aspx?id=79924&amp;rc=360&amp;tr=674"/>
    <hyperlink ref="Q1898" r:id="rId1845" display="http://www.land.gov.il/TozaotMichrazim/resultsDetailed.aspx?id=79925&amp;rc=361&amp;tr=674"/>
    <hyperlink ref="Q1896" r:id="rId1846" display="http://www.land.gov.il/TozaotMichrazim/resultsDetailed.aspx?id=79926&amp;rc=362&amp;tr=674"/>
    <hyperlink ref="Q1944" r:id="rId1847" display="http://www.land.gov.il/TozaotMichrazim/resultsDetailed.aspx?id=79927&amp;rc=363&amp;tr=674"/>
    <hyperlink ref="Q1879" r:id="rId1848" display="http://www.land.gov.il/TozaotMichrazim/resultsDetailed.aspx?id=79928&amp;rc=364&amp;tr=674"/>
    <hyperlink ref="Q1804" r:id="rId1849" display="http://www.land.gov.il/TozaotMichrazim/resultsDetailed.aspx?id=79929&amp;rc=365&amp;tr=674"/>
    <hyperlink ref="Q1943" r:id="rId1850" display="http://www.land.gov.il/TozaotMichrazim/resultsDetailed.aspx?id=79930&amp;rc=366&amp;tr=674"/>
    <hyperlink ref="Q1886" r:id="rId1851" display="http://www.land.gov.il/TozaotMichrazim/resultsDetailed.aspx?id=79931&amp;rc=367&amp;tr=674"/>
    <hyperlink ref="Q1880" r:id="rId1852" display="http://www.land.gov.il/TozaotMichrazim/resultsDetailed.aspx?id=79932&amp;rc=368&amp;tr=674"/>
    <hyperlink ref="Q2010" r:id="rId1853" display="http://www.land.gov.il/TozaotMichrazim/resultsDetailed.aspx?id=79933&amp;rc=369&amp;tr=674"/>
    <hyperlink ref="Q1850" r:id="rId1854" display="http://www.land.gov.il/TozaotMichrazim/resultsDetailed.aspx?id=79934&amp;rc=370&amp;tr=674"/>
    <hyperlink ref="Q1810" r:id="rId1855" display="http://www.land.gov.il/TozaotMichrazim/resultsDetailed.aspx?id=79935&amp;rc=371&amp;tr=674"/>
    <hyperlink ref="Q1888" r:id="rId1856" display="http://www.land.gov.il/TozaotMichrazim/resultsDetailed.aspx?id=79936&amp;rc=372&amp;tr=674"/>
    <hyperlink ref="Q1793" r:id="rId1857" display="http://www.land.gov.il/TozaotMichrazim/resultsDetailed.aspx?id=79937&amp;rc=373&amp;tr=674"/>
    <hyperlink ref="Q2099" r:id="rId1858" display="http://www.land.gov.il/TozaotMichrazim/resultsDetailed.aspx?id=79938&amp;rc=374&amp;tr=674"/>
    <hyperlink ref="Q2028" r:id="rId1859" display="http://www.land.gov.il/TozaotMichrazim/resultsDetailed.aspx?id=79939&amp;rc=375&amp;tr=674"/>
    <hyperlink ref="Q2040" r:id="rId1860" display="http://www.land.gov.il/TozaotMichrazim/resultsDetailed.aspx?id=79940&amp;rc=376&amp;tr=674"/>
    <hyperlink ref="Q2015" r:id="rId1861" display="http://www.land.gov.il/TozaotMichrazim/resultsDetailed.aspx?id=79941&amp;rc=377&amp;tr=674"/>
    <hyperlink ref="Q2073" r:id="rId1862" display="http://www.land.gov.il/TozaotMichrazim/resultsDetailed.aspx?id=79942&amp;rc=378&amp;tr=674"/>
    <hyperlink ref="Q2092" r:id="rId1863" display="http://www.land.gov.il/TozaotMichrazim/resultsDetailed.aspx?id=79943&amp;rc=379&amp;tr=674"/>
    <hyperlink ref="Q1825" r:id="rId1864" display="http://www.land.gov.il/TozaotMichrazim/resultsDetailed.aspx?id=79944&amp;rc=380&amp;tr=674"/>
    <hyperlink ref="Q2003" r:id="rId1865" display="http://www.land.gov.il/TozaotMichrazim/resultsDetailed.aspx?id=79945&amp;rc=381&amp;tr=674"/>
    <hyperlink ref="Q1931" r:id="rId1866" display="http://www.land.gov.il/TozaotMichrazim/resultsDetailed.aspx?id=79946&amp;rc=382&amp;tr=674"/>
    <hyperlink ref="Q1895" r:id="rId1867" display="http://www.land.gov.il/TozaotMichrazim/resultsDetailed.aspx?id=79947&amp;rc=383&amp;tr=674"/>
    <hyperlink ref="Q1920" r:id="rId1868" display="http://www.land.gov.il/TozaotMichrazim/resultsDetailed.aspx?id=79948&amp;rc=384&amp;tr=674"/>
    <hyperlink ref="Q1952" r:id="rId1869" display="http://www.land.gov.il/TozaotMichrazim/resultsDetailed.aspx?id=79949&amp;rc=385&amp;tr=674"/>
    <hyperlink ref="Q1861" r:id="rId1870" display="http://www.land.gov.il/TozaotMichrazim/resultsDetailed.aspx?id=79950&amp;rc=386&amp;tr=674"/>
    <hyperlink ref="Q1841" r:id="rId1871" display="http://www.land.gov.il/TozaotMichrazim/resultsDetailed.aspx?id=79951&amp;rc=387&amp;tr=674"/>
    <hyperlink ref="Q1889" r:id="rId1872" display="http://www.land.gov.il/TozaotMichrazim/resultsDetailed.aspx?id=79952&amp;rc=388&amp;tr=674"/>
    <hyperlink ref="Q1915" r:id="rId1873" display="http://www.land.gov.il/TozaotMichrazim/resultsDetailed.aspx?id=79953&amp;rc=389&amp;tr=674"/>
    <hyperlink ref="Q1877" r:id="rId1874" display="http://www.land.gov.il/TozaotMichrazim/resultsDetailed.aspx?id=79954&amp;rc=390&amp;tr=674"/>
    <hyperlink ref="Q1945" r:id="rId1875" display="http://www.land.gov.il/TozaotMichrazim/resultsDetailed.aspx?id=79955&amp;rc=391&amp;tr=674"/>
    <hyperlink ref="Q1833" r:id="rId1876" display="http://www.land.gov.il/TozaotMichrazim/resultsDetailed.aspx?id=79956&amp;rc=392&amp;tr=674"/>
    <hyperlink ref="Q1868" r:id="rId1877" display="http://www.land.gov.il/TozaotMichrazim/resultsDetailed.aspx?id=79957&amp;rc=393&amp;tr=674"/>
    <hyperlink ref="Q1876" r:id="rId1878" display="http://www.land.gov.il/TozaotMichrazim/resultsDetailed.aspx?id=79958&amp;rc=394&amp;tr=674"/>
    <hyperlink ref="Q1887" r:id="rId1879" display="http://www.land.gov.il/TozaotMichrazim/resultsDetailed.aspx?id=79959&amp;rc=395&amp;tr=674"/>
    <hyperlink ref="Q1842" r:id="rId1880" display="http://www.land.gov.il/TozaotMichrazim/resultsDetailed.aspx?id=79960&amp;rc=396&amp;tr=674"/>
    <hyperlink ref="Q1930" r:id="rId1881" display="http://www.land.gov.il/TozaotMichrazim/resultsDetailed.aspx?id=79961&amp;rc=397&amp;tr=674"/>
    <hyperlink ref="Q1893" r:id="rId1882" display="http://www.land.gov.il/TozaotMichrazim/resultsDetailed.aspx?id=79962&amp;rc=398&amp;tr=674"/>
    <hyperlink ref="Q2116" r:id="rId1883" display="http://www.land.gov.il/TozaotMichrazim/resultsDetailed.aspx?id=79963&amp;rc=399&amp;tr=674"/>
    <hyperlink ref="Q1941" r:id="rId1884" display="http://www.land.gov.il/TozaotMichrazim/resultsDetailed.aspx?id=79964&amp;rc=400&amp;tr=674"/>
    <hyperlink ref="Q1913" r:id="rId1885" display="http://www.land.gov.il/TozaotMichrazim/resultsDetailed.aspx?id=79965&amp;rc=401&amp;tr=674"/>
    <hyperlink ref="Q2132" r:id="rId1886" display="http://www.land.gov.il/TozaotMichrazim/resultsDetailed.aspx?id=79382&amp;rc=402&amp;tr=674"/>
    <hyperlink ref="Q2137" r:id="rId1887" display="http://www.land.gov.il/TozaotMichrazim/resultsDetailed.aspx?id=79383&amp;rc=403&amp;tr=674"/>
    <hyperlink ref="Q2124" r:id="rId1888" display="http://www.land.gov.il/TozaotMichrazim/resultsDetailed.aspx?id=79384&amp;rc=404&amp;tr=674"/>
    <hyperlink ref="Q2128" r:id="rId1889" display="http://www.land.gov.il/TozaotMichrazim/resultsDetailed.aspx?id=79385&amp;rc=405&amp;tr=674"/>
    <hyperlink ref="Q2129" r:id="rId1890" display="http://www.land.gov.il/TozaotMichrazim/resultsDetailed.aspx?id=79386&amp;rc=406&amp;tr=674"/>
    <hyperlink ref="Q2126" r:id="rId1891" display="http://www.land.gov.il/TozaotMichrazim/resultsDetailed.aspx?id=79387&amp;rc=407&amp;tr=674"/>
    <hyperlink ref="Q2144" r:id="rId1892" display="http://www.land.gov.il/TozaotMichrazim/resultsDetailed.aspx?id=79388&amp;rc=408&amp;tr=674"/>
    <hyperlink ref="Q2170" r:id="rId1893" display="http://www.land.gov.il/TozaotMichrazim/resultsDetailed.aspx?id=79389&amp;rc=409&amp;tr=674"/>
    <hyperlink ref="Q2152" r:id="rId1894" display="http://www.land.gov.il/TozaotMichrazim/resultsDetailed.aspx?id=79390&amp;rc=410&amp;tr=674"/>
    <hyperlink ref="Q2160" r:id="rId1895" display="http://www.land.gov.il/TozaotMichrazim/resultsDetailed.aspx?id=79391&amp;rc=411&amp;tr=674"/>
    <hyperlink ref="Q2125" r:id="rId1896" display="http://www.land.gov.il/TozaotMichrazim/resultsDetailed.aspx?id=79392&amp;rc=412&amp;tr=674"/>
    <hyperlink ref="Q2141" r:id="rId1897" display="http://www.land.gov.il/TozaotMichrazim/resultsDetailed.aspx?id=79393&amp;rc=413&amp;tr=674"/>
    <hyperlink ref="Q2165" r:id="rId1898" display="http://www.land.gov.il/TozaotMichrazim/resultsDetailed.aspx?id=79394&amp;rc=414&amp;tr=674"/>
    <hyperlink ref="Q2131" r:id="rId1899" display="http://www.land.gov.il/TozaotMichrazim/resultsDetailed.aspx?id=79395&amp;rc=415&amp;tr=674"/>
    <hyperlink ref="Q2113" r:id="rId1900" display="http://www.land.gov.il/TozaotMichrazim/resultsDetailed.aspx?id=79396&amp;rc=416&amp;tr=674"/>
    <hyperlink ref="Q2118" r:id="rId1901" display="http://www.land.gov.il/TozaotMichrazim/resultsDetailed.aspx?id=79397&amp;rc=417&amp;tr=674"/>
    <hyperlink ref="Q2151" r:id="rId1902" display="http://www.land.gov.il/TozaotMichrazim/resultsDetailed.aspx?id=79398&amp;rc=418&amp;tr=674"/>
    <hyperlink ref="Q2130" r:id="rId1903" display="http://www.land.gov.il/TozaotMichrazim/resultsDetailed.aspx?id=79399&amp;rc=419&amp;tr=674"/>
    <hyperlink ref="Q2162" r:id="rId1904" display="http://www.land.gov.il/TozaotMichrazim/resultsDetailed.aspx?id=79400&amp;rc=420&amp;tr=674"/>
    <hyperlink ref="Q2142" r:id="rId1905" display="http://www.land.gov.il/TozaotMichrazim/resultsDetailed.aspx?id=79401&amp;rc=421&amp;tr=674"/>
    <hyperlink ref="Q2063" r:id="rId1906" display="http://www.land.gov.il/TozaotMichrazim/resultsDetailed.aspx?id=79402&amp;rc=422&amp;tr=674"/>
    <hyperlink ref="Q2181" r:id="rId1907" display="http://www.land.gov.il/TozaotMichrazim/resultsDetailed.aspx?id=79370&amp;rc=423&amp;tr=674"/>
    <hyperlink ref="Q2190" r:id="rId1908" display="http://www.land.gov.il/TozaotMichrazim/resultsDetailed.aspx?id=79150&amp;rc=424&amp;tr=674"/>
    <hyperlink ref="Q2191" r:id="rId1909" display="http://www.land.gov.il/TozaotMichrazim/resultsDetailed.aspx?id=79151&amp;rc=425&amp;tr=674"/>
    <hyperlink ref="Q2192" r:id="rId1910" display="http://www.land.gov.il/TozaotMichrazim/resultsDetailed.aspx?id=79152&amp;rc=426&amp;tr=674"/>
    <hyperlink ref="Q2187" r:id="rId1911" display="http://www.land.gov.il/TozaotMichrazim/resultsDetailed.aspx?id=79153&amp;rc=427&amp;tr=674"/>
    <hyperlink ref="Q2188" r:id="rId1912" display="http://www.land.gov.il/TozaotMichrazim/resultsDetailed.aspx?id=79154&amp;rc=428&amp;tr=674"/>
    <hyperlink ref="Q2087" r:id="rId1913" display="http://www.land.gov.il/TozaotMichrazim/resultsDetailed.aspx?id=76928&amp;rc=430&amp;tr=674"/>
    <hyperlink ref="Q2121" r:id="rId1914" display="http://www.land.gov.il/TozaotMichrazim/resultsDetailed.aspx?id=76931&amp;rc=433&amp;tr=674"/>
    <hyperlink ref="Q2122" r:id="rId1915" display="http://www.land.gov.il/TozaotMichrazim/resultsDetailed.aspx?id=76932&amp;rc=434&amp;tr=674"/>
    <hyperlink ref="Q2133" r:id="rId1916" display="http://www.land.gov.il/TozaotMichrazim/resultsDetailed.aspx?id=76935&amp;rc=437&amp;tr=674"/>
    <hyperlink ref="Q1971" r:id="rId1917" display="http://www.land.gov.il/TozaotMichrazim/resultsDetailed.aspx?id=76938&amp;rc=440&amp;tr=674"/>
    <hyperlink ref="Q2088" r:id="rId1918" display="http://www.land.gov.il/TozaotMichrazim/resultsDetailed.aspx?id=76939&amp;rc=441&amp;tr=674"/>
    <hyperlink ref="Q1996" r:id="rId1919" display="http://www.land.gov.il/TozaotMichrazim/resultsDetailed.aspx?id=76940&amp;rc=442&amp;tr=674"/>
    <hyperlink ref="Q1977" r:id="rId1920" display="http://www.land.gov.il/TozaotMichrazim/resultsDetailed.aspx?id=76942&amp;rc=444&amp;tr=674"/>
    <hyperlink ref="Q1968" r:id="rId1921" display="http://www.land.gov.il/TozaotMichrazim/resultsDetailed.aspx?id=76943&amp;rc=445&amp;tr=674"/>
    <hyperlink ref="Q2090" r:id="rId1922" display="http://www.land.gov.il/TozaotMichrazim/resultsDetailed.aspx?id=76949&amp;rc=451&amp;tr=674"/>
    <hyperlink ref="Q2123" r:id="rId1923" display="http://www.land.gov.il/TozaotMichrazim/resultsDetailed.aspx?id=76950&amp;rc=452&amp;tr=674"/>
    <hyperlink ref="Q1954" r:id="rId1924" display="http://www.land.gov.il/TozaotMichrazim/resultsDetailed.aspx?id=76951&amp;rc=453&amp;tr=674"/>
    <hyperlink ref="Q2153" r:id="rId1925" display="http://www.land.gov.il/TozaotMichrazim/resultsDetailed.aspx?id=76952&amp;rc=454&amp;tr=674"/>
    <hyperlink ref="Q2161" r:id="rId1926" display="http://www.land.gov.il/TozaotMichrazim/resultsDetailed.aspx?id=76953&amp;rc=455&amp;tr=674"/>
    <hyperlink ref="Q2156" r:id="rId1927" display="http://www.land.gov.il/TozaotMichrazim/resultsDetailed.aspx?id=76954&amp;rc=456&amp;tr=674"/>
    <hyperlink ref="Q2083" r:id="rId1928" display="http://www.land.gov.il/TozaotMichrazim/resultsDetailed.aspx?id=76957&amp;rc=459&amp;tr=674"/>
    <hyperlink ref="Q1986" r:id="rId1929" display="http://www.land.gov.il/TozaotMichrazim/resultsDetailed.aspx?id=76958&amp;rc=460&amp;tr=674"/>
    <hyperlink ref="Q1942" r:id="rId1930" display="http://www.land.gov.il/TozaotMichrazim/resultsDetailed.aspx?id=76959&amp;rc=461&amp;tr=674"/>
    <hyperlink ref="Q1873" r:id="rId1931" display="http://www.land.gov.il/TozaotMichrazim/resultsDetailed.aspx?id=76960&amp;rc=462&amp;tr=674"/>
    <hyperlink ref="Q2119" r:id="rId1932" display="http://www.land.gov.il/TozaotMichrazim/resultsDetailed.aspx?id=76963&amp;rc=465&amp;tr=674"/>
    <hyperlink ref="Q2120" r:id="rId1933" display="http://www.land.gov.il/TozaotMichrazim/resultsDetailed.aspx?id=76964&amp;rc=466&amp;tr=674"/>
    <hyperlink ref="Q2008" r:id="rId1934" display="http://www.land.gov.il/TozaotMichrazim/resultsDetailed.aspx?id=76967&amp;rc=469&amp;tr=674"/>
    <hyperlink ref="Q2158" r:id="rId1935" display="http://www.land.gov.il/TozaotMichrazim/resultsDetailed.aspx?id=76968&amp;rc=470&amp;tr=674"/>
    <hyperlink ref="Q1940" r:id="rId1936" display="http://www.land.gov.il/TozaotMichrazim/resultsDetailed.aspx?id=76969&amp;rc=471&amp;tr=674"/>
    <hyperlink ref="Q2114" r:id="rId1937" display="http://www.land.gov.il/TozaotMichrazim/resultsDetailed.aspx?id=76970&amp;rc=472&amp;tr=674"/>
    <hyperlink ref="Q1907" r:id="rId1938" display="http://www.land.gov.il/TozaotMichrazim/resultsDetailed.aspx?id=76971&amp;rc=473&amp;tr=674"/>
    <hyperlink ref="Q1960" r:id="rId1939" display="http://www.land.gov.il/TozaotMichrazim/resultsDetailed.aspx?id=76972&amp;rc=474&amp;tr=674"/>
    <hyperlink ref="Q2109" r:id="rId1940" display="http://www.land.gov.il/TozaotMichrazim/resultsDetailed.aspx?id=76974&amp;rc=476&amp;tr=674"/>
    <hyperlink ref="Q2047" r:id="rId1941" display="http://www.land.gov.il/TozaotMichrazim/resultsDetailed.aspx?id=76975&amp;rc=477&amp;tr=674"/>
    <hyperlink ref="Q1818" r:id="rId1942" display="http://www.land.gov.il/TozaotMichrazim/resultsDetailed.aspx?id=76976&amp;rc=478&amp;tr=674"/>
    <hyperlink ref="Q1904" r:id="rId1943" display="http://www.land.gov.il/TozaotMichrazim/resultsDetailed.aspx?id=76977&amp;rc=479&amp;tr=674"/>
    <hyperlink ref="Q1869" r:id="rId1944" display="http://www.land.gov.il/TozaotMichrazim/resultsDetailed.aspx?id=76978&amp;rc=480&amp;tr=674"/>
    <hyperlink ref="Q1984" r:id="rId1945" display="http://www.land.gov.il/TozaotMichrazim/resultsDetailed.aspx?id=76979&amp;rc=481&amp;tr=674"/>
    <hyperlink ref="Q1965" r:id="rId1946" display="http://www.land.gov.il/TozaotMichrazim/resultsDetailed.aspx?id=76980&amp;rc=482&amp;tr=674"/>
    <hyperlink ref="Q2062" r:id="rId1947" display="http://www.land.gov.il/TozaotMichrazim/resultsDetailed.aspx?id=76981&amp;rc=483&amp;tr=674"/>
    <hyperlink ref="Q2002" r:id="rId1948" display="http://www.land.gov.il/TozaotMichrazim/resultsDetailed.aspx?id=76982&amp;rc=484&amp;tr=674"/>
    <hyperlink ref="Q1811" r:id="rId1949" display="http://www.land.gov.il/TozaotMichrazim/resultsDetailed.aspx?id=76983&amp;rc=485&amp;tr=674"/>
    <hyperlink ref="Q1809" r:id="rId1950" display="http://www.land.gov.il/TozaotMichrazim/resultsDetailed.aspx?id=76984&amp;rc=486&amp;tr=674"/>
    <hyperlink ref="Q2032" r:id="rId1951" display="http://www.land.gov.il/TozaotMichrazim/resultsDetailed.aspx?id=76985&amp;rc=487&amp;tr=674"/>
    <hyperlink ref="Q1990" r:id="rId1952" display="http://www.land.gov.il/TozaotMichrazim/resultsDetailed.aspx?id=76986&amp;rc=488&amp;tr=674"/>
    <hyperlink ref="Q1812" r:id="rId1953" display="http://www.land.gov.il/TozaotMichrazim/resultsDetailed.aspx?id=76987&amp;rc=489&amp;tr=674"/>
    <hyperlink ref="Q1806" r:id="rId1954" display="http://www.land.gov.il/TozaotMichrazim/resultsDetailed.aspx?id=76988&amp;rc=490&amp;tr=674"/>
    <hyperlink ref="Q1821" r:id="rId1955" display="http://www.land.gov.il/TozaotMichrazim/resultsDetailed.aspx?id=76989&amp;rc=491&amp;tr=674"/>
    <hyperlink ref="Q1912" r:id="rId1956" display="http://www.land.gov.il/TozaotMichrazim/resultsDetailed.aspx?id=76990&amp;rc=492&amp;tr=674"/>
    <hyperlink ref="Q1922" r:id="rId1957" display="http://www.land.gov.il/TozaotMichrazim/resultsDetailed.aspx?id=76991&amp;rc=493&amp;tr=674"/>
    <hyperlink ref="Q1918" r:id="rId1958" display="http://www.land.gov.il/TozaotMichrazim/resultsDetailed.aspx?id=76992&amp;rc=494&amp;tr=674"/>
    <hyperlink ref="Q1980" r:id="rId1959" display="http://www.land.gov.il/TozaotMichrazim/resultsDetailed.aspx?id=76993&amp;rc=495&amp;tr=674"/>
    <hyperlink ref="Q1923" r:id="rId1960" display="http://www.land.gov.il/TozaotMichrazim/resultsDetailed.aspx?id=76994&amp;rc=496&amp;tr=674"/>
    <hyperlink ref="Q1924" r:id="rId1961" display="http://www.land.gov.il/TozaotMichrazim/resultsDetailed.aspx?id=76995&amp;rc=497&amp;tr=674"/>
    <hyperlink ref="Q2049" r:id="rId1962" display="http://www.land.gov.il/TozaotMichrazim/resultsDetailed.aspx?id=76996&amp;rc=498&amp;tr=674"/>
    <hyperlink ref="Q2044" r:id="rId1963" display="http://www.land.gov.il/TozaotMichrazim/resultsDetailed.aspx?id=76997&amp;rc=499&amp;tr=674"/>
    <hyperlink ref="Q1897" r:id="rId1964" display="http://www.land.gov.il/TozaotMichrazim/resultsDetailed.aspx?id=76998&amp;rc=500&amp;tr=674"/>
    <hyperlink ref="Q1881" r:id="rId1965" display="http://www.land.gov.il/TozaotMichrazim/resultsDetailed.aspx?id=76999&amp;rc=501&amp;tr=674"/>
    <hyperlink ref="Q1946" r:id="rId1966" display="http://www.land.gov.il/TozaotMichrazim/resultsDetailed.aspx?id=77000&amp;rc=502&amp;tr=674"/>
    <hyperlink ref="Q1966" r:id="rId1967" display="http://www.land.gov.il/TozaotMichrazim/resultsDetailed.aspx?id=77001&amp;rc=503&amp;tr=674"/>
    <hyperlink ref="Q1864" r:id="rId1968" display="http://www.land.gov.il/TozaotMichrazim/resultsDetailed.aspx?id=77002&amp;rc=504&amp;tr=674"/>
    <hyperlink ref="Q2197" r:id="rId1969" display="http://www.land.gov.il/TozaotMichrazim/resultsDetailed.aspx?id=76730&amp;rc=506&amp;tr=674"/>
    <hyperlink ref="Q2194" r:id="rId1970" display="http://www.land.gov.il/TozaotMichrazim/resultsDetailed.aspx?id=76731&amp;rc=507&amp;tr=674"/>
    <hyperlink ref="Q2183" r:id="rId1971" display="http://www.land.gov.il/TozaotMichrazim/resultsDetailed.aspx?id=76551&amp;rc=508&amp;tr=674"/>
    <hyperlink ref="Q2182" r:id="rId1972" display="http://www.land.gov.il/TozaotMichrazim/resultsDetailed.aspx?id=75058&amp;rc=509&amp;tr=674"/>
    <hyperlink ref="Q1740" r:id="rId1973" display="http://www.land.gov.il/TozaotMichrazim/resultsDetailed.aspx?id=75020&amp;rc=510&amp;tr=674"/>
    <hyperlink ref="Q2180" r:id="rId1974" display="http://www.land.gov.il/TozaotMichrazim/resultsDetailed.aspx?id=75021&amp;rc=511&amp;tr=674"/>
    <hyperlink ref="Q2163" r:id="rId1975" display="http://www.land.gov.il/TozaotMichrazim/resultsDetailed.aspx?id=75022&amp;rc=512&amp;tr=674"/>
    <hyperlink ref="Q2175" r:id="rId1976" display="http://www.land.gov.il/TozaotMichrazim/resultsDetailed.aspx?id=75023&amp;rc=513&amp;tr=674"/>
    <hyperlink ref="Q2184" r:id="rId1977" display="http://www.land.gov.il/TozaotMichrazim/resultsDetailed.aspx?id=75024&amp;rc=514&amp;tr=674"/>
    <hyperlink ref="Q1975" r:id="rId1978" display="http://www.land.gov.il/TozaotMichrazim/resultsDetailed.aspx?id=74093&amp;rc=515&amp;tr=674"/>
    <hyperlink ref="Q2185" r:id="rId1979" display="http://www.land.gov.il/TozaotMichrazim/resultsDetailed.aspx?id=74095&amp;rc=517&amp;tr=674"/>
    <hyperlink ref="Q2222" r:id="rId1980" display="http://www.land.gov.il/TozaotMichrazim/resultsDetailed.aspx?id=87127&amp;rc=1&amp;tr=440"/>
    <hyperlink ref="Q2217" r:id="rId1981" display="http://www.land.gov.il/TozaotMichrazim/resultsDetailed.aspx?id=87128&amp;rc=2&amp;tr=440"/>
    <hyperlink ref="Q2223" r:id="rId1982" display="http://www.land.gov.il/TozaotMichrazim/resultsDetailed.aspx?id=87129&amp;rc=3&amp;tr=440"/>
    <hyperlink ref="Q2253" r:id="rId1983" display="http://www.land.gov.il/TozaotMichrazim/resultsDetailed.aspx?id=86724&amp;rc=4&amp;tr=440"/>
    <hyperlink ref="Q2273" r:id="rId1984" display="http://www.land.gov.il/TozaotMichrazim/resultsDetailed.aspx?id=86725&amp;rc=5&amp;tr=440"/>
    <hyperlink ref="Q2246" r:id="rId1985" display="http://www.land.gov.il/TozaotMichrazim/resultsDetailed.aspx?id=86726&amp;rc=6&amp;tr=440"/>
    <hyperlink ref="Q2270" r:id="rId1986" display="http://www.land.gov.il/TozaotMichrazim/resultsDetailed.aspx?id=86727&amp;rc=7&amp;tr=440"/>
    <hyperlink ref="Q2267" r:id="rId1987" display="http://www.land.gov.il/TozaotMichrazim/resultsDetailed.aspx?id=86728&amp;rc=8&amp;tr=440"/>
    <hyperlink ref="Q2268" r:id="rId1988" display="http://www.land.gov.il/TozaotMichrazim/resultsDetailed.aspx?id=86729&amp;rc=9&amp;tr=440"/>
    <hyperlink ref="Q2260" r:id="rId1989" display="http://www.land.gov.il/TozaotMichrazim/resultsDetailed.aspx?id=86730&amp;rc=10&amp;tr=440"/>
    <hyperlink ref="Q2266" r:id="rId1990" display="http://www.land.gov.il/TozaotMichrazim/resultsDetailed.aspx?id=86731&amp;rc=11&amp;tr=440"/>
    <hyperlink ref="Q2262" r:id="rId1991" display="http://www.land.gov.il/TozaotMichrazim/resultsDetailed.aspx?id=86732&amp;rc=12&amp;tr=440"/>
    <hyperlink ref="Q2274" r:id="rId1992" display="http://www.land.gov.il/TozaotMichrazim/resultsDetailed.aspx?id=86733&amp;rc=13&amp;tr=440"/>
    <hyperlink ref="Q2272" r:id="rId1993" display="http://www.land.gov.il/TozaotMichrazim/resultsDetailed.aspx?id=86734&amp;rc=14&amp;tr=440"/>
    <hyperlink ref="Q2271" r:id="rId1994" display="http://www.land.gov.il/TozaotMichrazim/resultsDetailed.aspx?id=86735&amp;rc=15&amp;tr=440"/>
    <hyperlink ref="Q2233" r:id="rId1995" display="http://www.land.gov.il/TozaotMichrazim/resultsDetailed.aspx?id=86030&amp;rc=16&amp;tr=440"/>
    <hyperlink ref="Q2232" r:id="rId1996" display="http://www.land.gov.il/TozaotMichrazim/resultsDetailed.aspx?id=86031&amp;rc=17&amp;tr=440"/>
    <hyperlink ref="Q2282" r:id="rId1997" display="http://www.land.gov.il/TozaotMichrazim/resultsDetailed.aspx?id=84227&amp;rc=18&amp;tr=440"/>
    <hyperlink ref="Q2226" r:id="rId1998" display="http://www.land.gov.il/TozaotMichrazim/resultsDetailed.aspx?id=83662&amp;rc=21&amp;tr=440"/>
    <hyperlink ref="Q2220" r:id="rId1999" display="http://www.land.gov.il/TozaotMichrazim/resultsDetailed.aspx?id=83625&amp;rc=22&amp;tr=440"/>
    <hyperlink ref="Q2218" r:id="rId2000" display="http://www.land.gov.il/TozaotMichrazim/resultsDetailed.aspx?id=83626&amp;rc=23&amp;tr=440"/>
    <hyperlink ref="Q2224" r:id="rId2001" display="http://www.land.gov.il/TozaotMichrazim/resultsDetailed.aspx?id=83627&amp;rc=24&amp;tr=440"/>
    <hyperlink ref="Q2228" r:id="rId2002" display="http://www.land.gov.il/TozaotMichrazim/resultsDetailed.aspx?id=83628&amp;rc=25&amp;tr=440"/>
    <hyperlink ref="Q2221" r:id="rId2003" display="http://www.land.gov.il/TozaotMichrazim/resultsDetailed.aspx?id=83629&amp;rc=26&amp;tr=440"/>
    <hyperlink ref="Q2219" r:id="rId2004" display="http://www.land.gov.il/TozaotMichrazim/resultsDetailed.aspx?id=83630&amp;rc=27&amp;tr=440"/>
    <hyperlink ref="Q2231" r:id="rId2005" display="http://www.land.gov.il/TozaotMichrazim/resultsDetailed.aspx?id=83632&amp;rc=29&amp;tr=440"/>
    <hyperlink ref="Q2230" r:id="rId2006" display="http://www.land.gov.il/TozaotMichrazim/resultsDetailed.aspx?id=83633&amp;rc=30&amp;tr=440"/>
    <hyperlink ref="Q2229" r:id="rId2007" display="http://www.land.gov.il/TozaotMichrazim/resultsDetailed.aspx?id=83634&amp;rc=31&amp;tr=440"/>
    <hyperlink ref="Q2227" r:id="rId2008" display="http://www.land.gov.il/TozaotMichrazim/resultsDetailed.aspx?id=83635&amp;rc=32&amp;tr=440"/>
    <hyperlink ref="Q2225" r:id="rId2009" display="http://www.land.gov.il/TozaotMichrazim/resultsDetailed.aspx?id=83638&amp;rc=35&amp;tr=440"/>
    <hyperlink ref="Q2280" r:id="rId2010" display="http://www.land.gov.il/TozaotMichrazim/resultsDetailed.aspx?id=81172&amp;rc=36&amp;tr=440"/>
    <hyperlink ref="Q2281" r:id="rId2011" display="http://www.land.gov.il/TozaotMichrazim/resultsDetailed.aspx?id=81173&amp;rc=37&amp;tr=440"/>
    <hyperlink ref="Q2279" r:id="rId2012" display="http://www.land.gov.il/TozaotMichrazim/resultsDetailed.aspx?id=81174&amp;rc=38&amp;tr=440"/>
    <hyperlink ref="Q2278" r:id="rId2013" display="http://www.land.gov.il/TozaotMichrazim/resultsDetailed.aspx?id=81175&amp;rc=39&amp;tr=440"/>
    <hyperlink ref="Q2276" r:id="rId2014" display="http://www.land.gov.il/TozaotMichrazim/resultsDetailed.aspx?id=81176&amp;rc=40&amp;tr=440"/>
    <hyperlink ref="Q2277" r:id="rId2015" display="http://www.land.gov.il/TozaotMichrazim/resultsDetailed.aspx?id=81177&amp;rc=41&amp;tr=440"/>
    <hyperlink ref="Q2283" r:id="rId2016" display="http://www.land.gov.il/TozaotMichrazim/resultsDetailed.aspx?id=80799&amp;rc=42&amp;tr=440"/>
    <hyperlink ref="Q2275" r:id="rId2017" display="http://www.land.gov.il/TozaotMichrazim/resultsDetailed.aspx?id=80800&amp;rc=43&amp;tr=440"/>
    <hyperlink ref="Q2237" r:id="rId2018" display="http://www.land.gov.il/TozaotMichrazim/resultsDetailed.aspx?id=80734&amp;rc=44&amp;tr=440"/>
    <hyperlink ref="Q2245" r:id="rId2019" display="http://www.land.gov.il/TozaotMichrazim/resultsDetailed.aspx?id=79120&amp;rc=45&amp;tr=440"/>
    <hyperlink ref="Q2255" r:id="rId2020" display="http://www.land.gov.il/TozaotMichrazim/resultsDetailed.aspx?id=79121&amp;rc=46&amp;tr=440"/>
    <hyperlink ref="Q2252" r:id="rId2021" display="http://www.land.gov.il/TozaotMichrazim/resultsDetailed.aspx?id=79122&amp;rc=47&amp;tr=440"/>
    <hyperlink ref="Q2242" r:id="rId2022" display="http://www.land.gov.il/TozaotMichrazim/resultsDetailed.aspx?id=79123&amp;rc=48&amp;tr=440"/>
    <hyperlink ref="Q2240" r:id="rId2023" display="http://www.land.gov.il/TozaotMichrazim/resultsDetailed.aspx?id=79124&amp;rc=49&amp;tr=440"/>
    <hyperlink ref="Q2261" r:id="rId2024" display="http://www.land.gov.il/TozaotMichrazim/resultsDetailed.aspx?id=79125&amp;rc=50&amp;tr=440"/>
    <hyperlink ref="Q2259" r:id="rId2025" display="http://www.land.gov.il/TozaotMichrazim/resultsDetailed.aspx?id=79126&amp;rc=51&amp;tr=440"/>
    <hyperlink ref="Q2264" r:id="rId2026" display="http://www.land.gov.il/TozaotMichrazim/resultsDetailed.aspx?id=79127&amp;rc=52&amp;tr=440"/>
    <hyperlink ref="Q2241" r:id="rId2027" display="http://www.land.gov.il/TozaotMichrazim/resultsDetailed.aspx?id=79128&amp;rc=53&amp;tr=440"/>
    <hyperlink ref="Q2243" r:id="rId2028" display="http://www.land.gov.il/TozaotMichrazim/resultsDetailed.aspx?id=79129&amp;rc=54&amp;tr=440"/>
    <hyperlink ref="Q2257" r:id="rId2029" display="http://www.land.gov.il/TozaotMichrazim/resultsDetailed.aspx?id=79130&amp;rc=55&amp;tr=440"/>
    <hyperlink ref="Q2265" r:id="rId2030" display="http://www.land.gov.il/TozaotMichrazim/resultsDetailed.aspx?id=79131&amp;rc=56&amp;tr=440"/>
    <hyperlink ref="Q2269" r:id="rId2031" display="http://www.land.gov.il/TozaotMichrazim/resultsDetailed.aspx?id=79132&amp;rc=57&amp;tr=440"/>
    <hyperlink ref="Q2251" r:id="rId2032" display="http://www.land.gov.il/TozaotMichrazim/resultsDetailed.aspx?id=79133&amp;rc=58&amp;tr=440"/>
    <hyperlink ref="Q2254" r:id="rId2033" display="http://www.land.gov.il/TozaotMichrazim/resultsDetailed.aspx?id=79134&amp;rc=59&amp;tr=440"/>
    <hyperlink ref="Q2250" r:id="rId2034" display="http://www.land.gov.il/TozaotMichrazim/resultsDetailed.aspx?id=79135&amp;rc=60&amp;tr=440"/>
    <hyperlink ref="Q2263" r:id="rId2035" display="http://www.land.gov.il/TozaotMichrazim/resultsDetailed.aspx?id=79136&amp;rc=61&amp;tr=440"/>
    <hyperlink ref="Q2248" r:id="rId2036" display="http://www.land.gov.il/TozaotMichrazim/resultsDetailed.aspx?id=79137&amp;rc=62&amp;tr=440"/>
    <hyperlink ref="Q2256" r:id="rId2037" display="http://www.land.gov.il/TozaotMichrazim/resultsDetailed.aspx?id=79138&amp;rc=63&amp;tr=440"/>
    <hyperlink ref="Q2249" r:id="rId2038" display="http://www.land.gov.il/TozaotMichrazim/resultsDetailed.aspx?id=79139&amp;rc=64&amp;tr=440"/>
    <hyperlink ref="Q2258" r:id="rId2039" display="http://www.land.gov.il/TozaotMichrazim/resultsDetailed.aspx?id=79140&amp;rc=65&amp;tr=440"/>
    <hyperlink ref="Q2238" r:id="rId2040" display="http://www.land.gov.il/TozaotMichrazim/resultsDetailed.aspx?id=79141&amp;rc=66&amp;tr=440"/>
    <hyperlink ref="Q2239" r:id="rId2041" display="http://www.land.gov.il/TozaotMichrazim/resultsDetailed.aspx?id=79142&amp;rc=67&amp;tr=440"/>
    <hyperlink ref="Q2247" r:id="rId2042" display="http://www.land.gov.il/TozaotMichrazim/resultsDetailed.aspx?id=79143&amp;rc=68&amp;tr=440"/>
    <hyperlink ref="Q2244" r:id="rId2043" display="http://www.land.gov.il/TozaotMichrazim/resultsDetailed.aspx?id=79144&amp;rc=69&amp;tr=440"/>
    <hyperlink ref="Q2236" r:id="rId2044" display="http://www.land.gov.il/TozaotMichrazim/resultsDetailed.aspx?id=77210&amp;rc=70&amp;tr=440"/>
    <hyperlink ref="Q2235" r:id="rId2045" display="http://www.land.gov.il/TozaotMichrazim/resultsDetailed.aspx?id=77211&amp;rc=71&amp;tr=440"/>
    <hyperlink ref="Q2234" r:id="rId2046" display="http://www.land.gov.il/TozaotMichrazim/resultsDetailed.aspx?id=77212&amp;rc=72&amp;tr=440"/>
    <hyperlink ref="Q2312" r:id="rId2047" display="http://www.land.gov.il/TozaotMichrazim/resultsDetailed.aspx?id=86832&amp;rc=10&amp;tr=155"/>
    <hyperlink ref="Q2309" r:id="rId2048" display="http://www.land.gov.il/TozaotMichrazim/resultsDetailed.aspx?id=86640&amp;rc=11&amp;tr=155"/>
    <hyperlink ref="Q2311" r:id="rId2049" display="http://www.land.gov.il/TozaotMichrazim/resultsDetailed.aspx?id=86641&amp;rc=12&amp;tr=155"/>
    <hyperlink ref="Q2310" r:id="rId2050" display="http://www.land.gov.il/TozaotMichrazim/resultsDetailed.aspx?id=86642&amp;rc=13&amp;tr=155"/>
    <hyperlink ref="Q2313" r:id="rId2051" display="http://www.land.gov.il/TozaotMichrazim/resultsDetailed.aspx?id=81860&amp;rc=19&amp;tr=155"/>
    <hyperlink ref="Q1700" r:id="rId2052" display="http://www.land.gov.il/TozaotMichrazim/resultsDetailed.aspx?id=86703&amp;rc=1&amp;tr=177"/>
    <hyperlink ref="Q1701" r:id="rId2053" display="http://www.land.gov.il/TozaotMichrazim/resultsDetailed.aspx?id=86074&amp;rc=2&amp;tr=177"/>
    <hyperlink ref="Q1706" r:id="rId2054" display="http://www.land.gov.il/TozaotMichrazim/resultsDetailed.aspx?id=84744&amp;rc=3&amp;tr=177"/>
    <hyperlink ref="Q1703" r:id="rId2055" display="http://www.land.gov.il/TozaotMichrazim/resultsDetailed.aspx?id=84595&amp;rc=4&amp;tr=177"/>
    <hyperlink ref="Q1702" r:id="rId2056" display="http://www.land.gov.il/TozaotMichrazim/resultsDetailed.aspx?id=84596&amp;rc=5&amp;tr=177"/>
    <hyperlink ref="Q1704" r:id="rId2057" display="http://www.land.gov.il/TozaotMichrazim/resultsDetailed.aspx?id=83251&amp;rc=6&amp;tr=177"/>
    <hyperlink ref="Q1705" r:id="rId2058" display="http://www.land.gov.il/TozaotMichrazim/resultsDetailed.aspx?id=83252&amp;rc=7&amp;tr=177"/>
    <hyperlink ref="Q1712" r:id="rId2059" display="http://www.land.gov.il/TozaotMichrazim/resultsDetailed.aspx?id=86831&amp;rc=2&amp;tr=109"/>
    <hyperlink ref="Q1580" r:id="rId2060" display="http://www.land.gov.il/TozaotMichrazim/resultsDetailed.aspx?id=87119&amp;rc=1&amp;tr=115"/>
    <hyperlink ref="Q1579" r:id="rId2061" display="http://www.land.gov.il/TozaotMichrazim/resultsDetailed.aspx?id=87120&amp;rc=2&amp;tr=115"/>
    <hyperlink ref="Q1556" r:id="rId2062" display="http://www.land.gov.il/TozaotMichrazim/resultsDetailed.aspx?id=87113&amp;rc=3&amp;tr=115"/>
    <hyperlink ref="Q1558" r:id="rId2063" display="http://www.land.gov.il/TozaotMichrazim/resultsDetailed.aspx?id=87114&amp;rc=4&amp;tr=115"/>
    <hyperlink ref="Q1569" r:id="rId2064" display="http://www.land.gov.il/TozaotMichrazim/resultsDetailed.aspx?id=87115&amp;rc=5&amp;tr=115"/>
    <hyperlink ref="Q1561" r:id="rId2065" display="http://www.land.gov.il/TozaotMichrazim/resultsDetailed.aspx?id=87116&amp;rc=6&amp;tr=115"/>
    <hyperlink ref="Q1563" r:id="rId2066" display="http://www.land.gov.il/TozaotMichrazim/resultsDetailed.aspx?id=87047&amp;rc=7&amp;tr=115"/>
    <hyperlink ref="Q1559" r:id="rId2067" display="http://www.land.gov.il/TozaotMichrazim/resultsDetailed.aspx?id=87048&amp;rc=8&amp;tr=115"/>
    <hyperlink ref="Q1560" r:id="rId2068" display="http://www.land.gov.il/TozaotMichrazim/resultsDetailed.aspx?id=87049&amp;rc=9&amp;tr=115"/>
    <hyperlink ref="Q1564" r:id="rId2069" display="http://www.land.gov.il/TozaotMichrazim/resultsDetailed.aspx?id=87050&amp;rc=10&amp;tr=115"/>
    <hyperlink ref="Q1574" r:id="rId2070" display="http://www.land.gov.il/TozaotMichrazim/resultsDetailed.aspx?id=87051&amp;rc=11&amp;tr=115"/>
    <hyperlink ref="Q1557" r:id="rId2071" display="http://www.land.gov.il/TozaotMichrazim/resultsDetailed.aspx?id=87052&amp;rc=12&amp;tr=115"/>
    <hyperlink ref="Q1573" r:id="rId2072" display="http://www.land.gov.il/TozaotMichrazim/resultsDetailed.aspx?id=87053&amp;rc=13&amp;tr=115"/>
    <hyperlink ref="Q1566" r:id="rId2073" display="http://www.land.gov.il/TozaotMichrazim/resultsDetailed.aspx?id=87054&amp;rc=14&amp;tr=115"/>
    <hyperlink ref="Q1572" r:id="rId2074" display="http://www.land.gov.il/TozaotMichrazim/resultsDetailed.aspx?id=87055&amp;rc=15&amp;tr=115"/>
    <hyperlink ref="Q1571" r:id="rId2075" display="http://www.land.gov.il/TozaotMichrazim/resultsDetailed.aspx?id=87056&amp;rc=16&amp;tr=115"/>
    <hyperlink ref="Q1567" r:id="rId2076" display="http://www.land.gov.il/TozaotMichrazim/resultsDetailed.aspx?id=87057&amp;rc=17&amp;tr=115"/>
    <hyperlink ref="Q1562" r:id="rId2077" display="http://www.land.gov.il/TozaotMichrazim/resultsDetailed.aspx?id=87058&amp;rc=18&amp;tr=115"/>
    <hyperlink ref="Q1565" r:id="rId2078" display="http://www.land.gov.il/TozaotMichrazim/resultsDetailed.aspx?id=87059&amp;rc=19&amp;tr=115"/>
    <hyperlink ref="Q1570" r:id="rId2079" display="http://www.land.gov.il/TozaotMichrazim/resultsDetailed.aspx?id=87060&amp;rc=20&amp;tr=115"/>
    <hyperlink ref="Q1568" r:id="rId2080" display="http://www.land.gov.il/TozaotMichrazim/resultsDetailed.aspx?id=87061&amp;rc=21&amp;tr=115"/>
    <hyperlink ref="Q1575" r:id="rId2081" display="http://www.land.gov.il/TozaotMichrazim/resultsDetailed.aspx?id=80747&amp;rc=22&amp;tr=115"/>
    <hyperlink ref="Q1577" r:id="rId2082" display="http://www.land.gov.il/TozaotMichrazim/resultsDetailed.aspx?id=80748&amp;rc=23&amp;tr=115"/>
    <hyperlink ref="Q1578" r:id="rId2083" display="http://www.land.gov.il/TozaotMichrazim/resultsDetailed.aspx?id=80749&amp;rc=24&amp;tr=115"/>
    <hyperlink ref="Q1576" r:id="rId2084" display="http://www.land.gov.il/TozaotMichrazim/resultsDetailed.aspx?id=80750&amp;rc=25&amp;tr=115"/>
    <hyperlink ref="Q1582" r:id="rId2085" display="http://www.land.gov.il/TozaotMichrazim/resultsDetailed.aspx?id=77076&amp;rc=26&amp;tr=115"/>
    <hyperlink ref="Q1581" r:id="rId2086" display="http://www.land.gov.il/TozaotMichrazim/resultsDetailed.aspx?id=77077&amp;rc=27&amp;tr=115"/>
    <hyperlink ref="Q1541" r:id="rId2087" display="http://www.land.gov.il/TozaotMichrazim/resultsDetailed.aspx?id=86676&amp;rc=1&amp;tr=100"/>
    <hyperlink ref="Q1538" r:id="rId2088" display="http://www.land.gov.il/TozaotMichrazim/resultsDetailed.aspx?id=86677&amp;rc=2&amp;tr=100"/>
    <hyperlink ref="Q1542" r:id="rId2089" display="http://www.land.gov.il/TozaotMichrazim/resultsDetailed.aspx?id=86678&amp;rc=3&amp;tr=100"/>
    <hyperlink ref="Q1543" r:id="rId2090" display="http://www.land.gov.il/TozaotMichrazim/resultsDetailed.aspx?id=86679&amp;rc=4&amp;tr=100"/>
    <hyperlink ref="Q1534" r:id="rId2091" display="http://www.land.gov.il/TozaotMichrazim/resultsDetailed.aspx?id=84823&amp;rc=7&amp;tr=100"/>
    <hyperlink ref="Q1535" r:id="rId2092" display="http://www.land.gov.il/TozaotMichrazim/resultsDetailed.aspx?id=84824&amp;rc=8&amp;tr=100"/>
    <hyperlink ref="Q1539" r:id="rId2093" display="http://www.land.gov.il/TozaotMichrazim/resultsDetailed.aspx?id=84825&amp;rc=9&amp;tr=100"/>
    <hyperlink ref="Q1537" r:id="rId2094" display="http://www.land.gov.il/TozaotMichrazim/resultsDetailed.aspx?id=84826&amp;rc=10&amp;tr=100"/>
    <hyperlink ref="Q1540" r:id="rId2095" display="http://www.land.gov.il/TozaotMichrazim/resultsDetailed.aspx?id=84827&amp;rc=11&amp;tr=100"/>
    <hyperlink ref="Q1536" r:id="rId2096" display="http://www.land.gov.il/TozaotMichrazim/resultsDetailed.aspx?id=84828&amp;rc=12&amp;tr=100"/>
    <hyperlink ref="Q1533" r:id="rId2097" display="http://www.land.gov.il/TozaotMichrazim/resultsDetailed.aspx?id=83872&amp;rc=13&amp;tr=100"/>
    <hyperlink ref="Q1554" r:id="rId2098" display="http://www.land.gov.il/TozaotMichrazim/resultsDetailed.aspx?id=83659&amp;rc=14&amp;tr=100"/>
    <hyperlink ref="Q1545" r:id="rId2099" display="http://www.land.gov.il/TozaotMichrazim/resultsDetailed.aspx?id=79155&amp;rc=15&amp;tr=100"/>
    <hyperlink ref="Q1553" r:id="rId2100" display="http://www.land.gov.il/TozaotMichrazim/resultsDetailed.aspx?id=79156&amp;rc=16&amp;tr=100"/>
    <hyperlink ref="Q1550" r:id="rId2101" display="http://www.land.gov.il/TozaotMichrazim/resultsDetailed.aspx?id=79157&amp;rc=17&amp;tr=100"/>
    <hyperlink ref="Q1548" r:id="rId2102" display="http://www.land.gov.il/TozaotMichrazim/resultsDetailed.aspx?id=79158&amp;rc=18&amp;tr=100"/>
    <hyperlink ref="Q1551" r:id="rId2103" display="http://www.land.gov.il/TozaotMichrazim/resultsDetailed.aspx?id=79159&amp;rc=19&amp;tr=100"/>
    <hyperlink ref="Q1544" r:id="rId2104" display="http://www.land.gov.il/TozaotMichrazim/resultsDetailed.aspx?id=79160&amp;rc=20&amp;tr=100"/>
    <hyperlink ref="Q1546" r:id="rId2105" display="http://www.land.gov.il/TozaotMichrazim/resultsDetailed.aspx?id=78033&amp;rc=21&amp;tr=100"/>
    <hyperlink ref="Q1549" r:id="rId2106" display="http://www.land.gov.il/TozaotMichrazim/resultsDetailed.aspx?id=78034&amp;rc=22&amp;tr=100"/>
    <hyperlink ref="Q1552" r:id="rId2107" display="http://www.land.gov.il/TozaotMichrazim/resultsDetailed.aspx?id=78035&amp;rc=23&amp;tr=100"/>
    <hyperlink ref="Q1547" r:id="rId2108" display="http://www.land.gov.il/TozaotMichrazim/resultsDetailed.aspx?id=78036&amp;rc=24&amp;tr=100"/>
    <hyperlink ref="F30" r:id="rId2109" tooltip="לפרטי התוכנית" display="http://www.land.gov.il/IturTabot2/taba2.aspx?tbMerchav=217&amp;tUniqueID=0&amp;sSug=~&amp;tblView=tblView_9f78d0bf5b4f&amp;tbMsTochnit=%25u05d2/17000"/>
    <hyperlink ref="F31" r:id="rId2110" tooltip="לפרטי התוכנית" display="http://www.land.gov.il/IturTabot2/taba1.aspx?MisTochnit=%u05EA%u05DE%u05DC/1021&amp;Ishuv=7700"/>
    <hyperlink ref="F33" r:id="rId2111" tooltip="לפרטי התוכנית" display="http://www.land.gov.il/IturTabot2/taba1.aspx?MisTochnit=%u05E2%u05E4/%u05DE%u05E7/2/20010&amp;Ishuv=7700"/>
    <hyperlink ref="F35" r:id="rId2112" tooltip="לפרטי התוכנית" display="http://www.land.gov.il/IturTabot2/taba2.aspx?tbMerchav=217&amp;tUniqueID=0&amp;sSug=~&amp;tblView=tblView_45c4808e3c94&amp;tbMsTochnit=%25u05e2%25u05e4/%25u05de%25u05e7/6/12567"/>
    <hyperlink ref="B40" r:id="rId2113" tooltip="יבנה - מתחם A" display="http://www.land.gov.il/shivukweb/pages/Prj_yavne.html"/>
    <hyperlink ref="B41" r:id="rId2114" tooltip="יבנה - מתחם B+ C​" display="http://www.land.gov.il/shivukweb/pages/Prj_yavneBC.html"/>
    <hyperlink ref="E40" r:id="rId2115" tooltip="מר/139/2016" display="http://www.land.gov.il/PirsumMichrazim/Aspx/pirsumDetails.aspx?id=1392016%EE%F8&amp;rc=1&amp;tr=6"/>
    <hyperlink ref="E41" r:id="rId2116" tooltip="מר/140/2016" display="http://www.land.gov.il/PirsumMichrazim/Aspx/pirsumDetails.aspx?id=1402016%EE%F8&amp;rc=2&amp;tr=6"/>
    <hyperlink ref="E42" r:id="rId2117" tooltip="מר/228/2016" display="http://www.land.gov.il/PirsumMichrazim/Aspx/pirsumDetails.aspx?id=2282016%EE%F8&amp;rc=4&amp;tr=6"/>
    <hyperlink ref="E43" r:id="rId2118" tooltip="מר/229/2016" display="http://www.land.gov.il/PirsumMichrazim/Aspx/pirsumDetails.aspx?id=2292016%EE%F8&amp;rc=4&amp;tr=6"/>
    <hyperlink ref="E44" r:id="rId2119" tooltip="מר/243/2016" display="http://www.land.gov.il/PirsumMichrazim/Aspx/pirsumDetails.aspx?id=2432016%EE%F8&amp;rc=4&amp;tr=6"/>
    <hyperlink ref="F40" r:id="rId2120" tooltip="בר/274" display="http://www.land.gov.il/IturTabot2/taba1.aspx?MisTochnit=%u05D1%u05E8/274&amp;Ishuv=2660"/>
    <hyperlink ref="F41" r:id="rId2121" tooltip="יב/1/255" display="http://www.land.gov.il/IturTabot2/taba2.aspx?tbMerchav=407&amp;tUniqueID=0&amp;sSug=23%2c24%2c26%2c72%2c21%2c20%2c62%2c31%2c41%2c25%2c22%2c13%2c61%2c32%2c40%2c9%2c12%2c60%2c71%2c70%2c67%2c68%2c69%2c30%2c50&amp;tblView=tblView_5d2dd49555ae&amp;tbMsTochnit=%25u05d9%25u05d1/1/255"/>
    <hyperlink ref="B46" r:id="rId2122" tooltip="אגם 3" display="http://www.land.gov.il/shivukweb/pages/Prj_agam3.html"/>
    <hyperlink ref="F45" r:id="rId2123" display="http://www.land.gov.il/IturTabot2/taba1.aspx?MisTochnit=%u05E0%u05EA/14/537/%u05D0&amp;Ishuv=7400"/>
    <hyperlink ref="B56" r:id="rId2124" tooltip=" הרצליה - 'גליל ים' ​" display="http://www.land.gov.il/shivukweb/pages/Prj_gliliyam.html"/>
    <hyperlink ref="E56" r:id="rId2125" display="http://www.land.gov.il/PirsumMichrazim/Aspx/pirsumDetails.aspx?id=1012016%FA%E0&amp;rc=1&amp;tr=2"/>
    <hyperlink ref="F56" r:id="rId2126" display="http://www.land.gov.il/IturTabot2/taba1.aspx?MisTochnit=504-0251637&amp;Ishuv=6400"/>
    <hyperlink ref="B60" r:id="rId2127" display="http://www.land.gov.il/shivukweb/pages/Prj_ashkelonM7.html"/>
    <hyperlink ref="F59" r:id="rId2128" tooltip="לפרטי התוכנית" display="http://www.land.gov.il/IturTabot2/taba1.aspx?MisTochnit=%u05EA%u05DE%u05DC/1006&amp;Ishuv=7100"/>
    <hyperlink ref="F66" r:id="rId2129" tooltip="לפרטי התוכנית" display="http://www.land.gov.il/IturTabot2/taba2.aspx?tbMerchav=603&amp;tUniqueID=0&amp;sSug=~&amp;tblView=tblView_32a3ac27512f&amp;tbMsTochnit=605-0225284"/>
    <hyperlink ref="E85" r:id="rId2130" display="http://www.land.gov.il/PirsumMichrazim/Aspx/pirsumDetails.aspx?id=3752016%EE%F8&amp;rc=3&amp;tr=5"/>
    <hyperlink ref="F85" r:id="rId2131" tooltip="לפרטי התוכנית" display="http://www.land.gov.il/IturTabot2/taba1.aspx?MisTochnit=%u05DC%u05D4/6/170&amp;Ishuv=8500"/>
    <hyperlink ref="F86" r:id="rId2132" tooltip="לפרטי התוכנית" display="http://www.land.gov.il/IturTabot2/taba1.aspx?MisTochnit=%u05DC%u05D4/1100&amp;Ishuv=8500"/>
    <hyperlink ref="F87" r:id="rId2133" tooltip="לפרטי התוכנית" display="http://www.land.gov.il/IturTabot2/taba2.aspx?tbMerchav=419&amp;tUniqueID=0&amp;sSug=~&amp;tblView=tblView_2cbd28fe9b5a&amp;tbMsTochnit=%25u05dc%25u05d4/3/170"/>
    <hyperlink ref="F88" r:id="rId2134" tooltip="לפרטי התוכנית" display="http://www.land.gov.il/IturTabot2/taba2.aspx?tbMerchav=419&amp;tUniqueID=0&amp;sSug=~&amp;tblView=tblView_be979bf82c88&amp;tbMsTochnit=%25u05dc%25u05d4/188"/>
    <hyperlink ref="F89" r:id="rId2135" tooltip="לפרטי התוכנית" display="http://www.land.gov.il/IturTabot2/taba2.aspx?tbMerchav=419&amp;tUniqueID=0&amp;sSug=~&amp;tblView=tblView_2cbd28fe9b5a&amp;tbMsTochnit=%25u05dc%25u05d4/16/1000"/>
    <hyperlink ref="F90" r:id="rId2136" tooltip="לפרטי התוכנית" display="http://www.land.gov.il/IturTabot2/taba2.aspx?tbMerchav=419&amp;tUniqueID=0&amp;sSug=~&amp;tblView=tblView_2cbd28fe9b5a&amp;tbMsTochnit=%25u05dc%25u05d4/%25u05d1%25u05de/172"/>
    <hyperlink ref="B95" r:id="rId2137" tooltip="ראשון לציון -מזרח" display="http://www.land.gov.il/shivukweb/pages/Prj_rishon-mizrah.html"/>
    <hyperlink ref="B96" r:id="rId2138" tooltip="צריפין - מתחם מס' 4 " display="http://www.land.gov.il/shivukweb/pages/Prj_zrifin.html"/>
    <hyperlink ref="E94" r:id="rId2139" display="http://www.land.gov.il/PirsumMichrazim/Aspx/pirsumDetails.aspx?id=3532016%EE%F8&amp;rc=4&amp;tr=5"/>
    <hyperlink ref="F94" r:id="rId2140" tooltip="129/22/1 " display="http://www.land.gov.il/IturTabot2/taba2.aspx?tbMerchav=417&amp;tUniqueID=0&amp;sSug=23%2c24%2c26%2c72%2c21%2c20%2c62%2c31%2c41%2c25%2c22%2c13%2c61%2c32%2c40%2c9%2c12%2c60%2c71%2c70%2c67%2c68%2c69%2c30%2c50&amp;tblView=tblView_321ef4a38839&amp;tbMsTochnit=%25u05e8%25u05e6/129/22/1"/>
    <hyperlink ref="F95" r:id="rId2141" tooltip="לפרטי התוכנית" display="http://www.land.gov.il/IturTabot2/taba1.aspx?MisTochnit=413-0180570&amp;Ishuv=8300"/>
    <hyperlink ref="B103" r:id="rId2142" tooltip=" ראש העין - 'מתחם A' " display="http://www.land.gov.il/shivukweb/pages/Prj_roshA.html"/>
    <hyperlink ref="B104" r:id="rId2143" tooltip="ראש העין - 'מתחם C' ​" display="http://www.land.gov.il/shivukweb/pages/Prj_roshC.html"/>
    <hyperlink ref="F104" r:id="rId2144" tooltip="רנ/265/א" display="http://www.land.gov.il/IturTabot2/taba2.aspx?tbMerchav=425&amp;tbMsTochnit=%25u05e8%25u05e0/265/%25u05d0"/>
    <hyperlink ref="F105" r:id="rId2145" tooltip="רנ/2​50/א" display="http://www.land.gov.il/IturTabot2/taba2.aspx?tbMerchav=425&amp;tUniqueID=0&amp;sSug=~&amp;tblView=tblView_876d2734474b&amp;tbMsTochnit=%25u05e8%25u05e0/250/%25u05d0"/>
    <hyperlink ref="B108" r:id="rId2146" tooltip="מודיעין – 'מתחם N'" display="http://www.land.gov.il/shivukweb/pages/Prj_modin-n.html"/>
    <hyperlink ref="B109" r:id="rId2147" tooltip="מודיעין - אמת המים - מע'ר​" display="http://www.land.gov.il/shivukweb/pages/prj_amatmaim.html"/>
    <hyperlink ref="F108" r:id="rId2148" tooltip="מד/1/9 ​" display="http://www.land.gov.il/iturtabot2/taba2.aspx?tbMerchav=401&amp;tbMsTochnit=%25u05de%25u05d3/1/9"/>
    <hyperlink ref="F109" r:id="rId2149" tooltip="420-0138651 (מד/8/23)​" display="http://www.land.gov.il/IturTabot2/taba2.aspx?tbMerchav=401&amp;tUniqueID=0&amp;sSug=~&amp;tblView=tblView_e7094ece23db&amp;tbMsTochnit=420-0138651"/>
    <hyperlink ref="B112" r:id="rId2150" tooltip="נאות אפק" display="http://www.land.gov.il/shivukweb/pages/Prj_neotafek.html"/>
    <hyperlink ref="E112" r:id="rId2151" display="http://www.land.gov.il/PirsumMichrazim/Aspx/pirsumDetails.aspx?id=3782016%E7%E9&amp;rc=1&amp;tr=3"/>
    <hyperlink ref="F112" r:id="rId2152" tooltip="ק/425 " display="http://www.land.gov.il/IturTabot2/taba2.aspx?tbMerchav=306&amp;tUniqueID=1&amp;sSug=23%2c24%2c26%2c72%2c21%2c20%2c62%2c31%2c41%2c25%2c22%2c13%2c61%2c32%2c73%2c40%2c9%2c12%2c60%2c71%2c70%2c67%2c68%2c69%2c30%2c50&amp;tblView=tblView_e4781b4803f2&amp;tbMsTochnit=%25u05e7/425"/>
    <hyperlink ref="B122" r:id="rId2153" tooltip="קרית גת - כרמי גת" display="http://www.land.gov.il/shivukweb/pages/Prj_carmeigat.html"/>
    <hyperlink ref="E122" r:id="rId2154" display="http://www.land.gov.il/PirsumMichrazim/Aspx/pirsumDetails.aspx?id=%20%2082017%E9%ED&amp;rc=1&amp;tr=4"/>
    <hyperlink ref="E123" r:id="rId2155" display="http://www.land.gov.il/PirsumMichrazim/Aspx/pirsumDetails.aspx?id=%20112017%E9%ED&amp;rc=2&amp;tr=4"/>
    <hyperlink ref="E124" r:id="rId2156" display="http://www.land.gov.il/PirsumMichrazim/Aspx/pirsumDetails.aspx?id=2792016%E9%ED&amp;rc=3&amp;tr=4"/>
    <hyperlink ref="F122" r:id="rId2157" tooltip="1/140/02/9" display="http://www.land.gov.il/IturTabot2/taba2.aspx?tbMerchav=107&amp;tUniqueID=0&amp;sSug=~&amp;tblView=tblView_ab8bc5ac50d1&amp;tbMsTochnit=1/140/02/9"/>
    <hyperlink ref="F123" r:id="rId2158" tooltip="2/140/02/9" display="http://www.land.gov.il/iturtabot2/taba2.aspx?tbMerchav=107&amp;tbMsTochnit=2/140/02/9"/>
    <hyperlink ref="F124" r:id="rId2159" tooltip="3/140/03/9" display="http://www.land.gov.il/IturTabot2/taba2.aspx?tbMerchav=107&amp;tbMsTochnit=3/140/03/9"/>
    <hyperlink ref="F125" r:id="rId2160" tooltip="4/140/03/9​" display="http://www.land.gov.il/iturtabot2/taba2.aspx?tbMerchav=107&amp;tbMsTochnit=4/140/03/9"/>
    <hyperlink ref="E30" r:id="rId2161" display="http://www.land.gov.il/PirsumMichrazim/Aspx/pirsumDetails.aspx?id=2812016%F6%F4&amp;rc=1&amp;tr=1"/>
    <hyperlink ref="G40" r:id="rId2162" tooltip="מר/139/2016" display="http://www.land.gov.il/PirsumMichrazim/Aspx/pirsumDetails.aspx?id=1392016%EE%F8&amp;rc=1&amp;tr=6"/>
    <hyperlink ref="G41" r:id="rId2163" tooltip="מר/140/2016" display="http://www.land.gov.il/PirsumMichrazim/Aspx/pirsumDetails.aspx?id=1402016%EE%F8&amp;rc=2&amp;tr=6"/>
    <hyperlink ref="G42" r:id="rId2164" tooltip="מר/228/2016" display="http://www.land.gov.il/PirsumMichrazim/Aspx/pirsumDetails.aspx?id=2282016%EE%F8&amp;rc=4&amp;tr=6"/>
    <hyperlink ref="G43" r:id="rId2165" tooltip="מר/229/2016" display="http://www.land.gov.il/PirsumMichrazim/Aspx/pirsumDetails.aspx?id=2292016%EE%F8&amp;rc=4&amp;tr=6"/>
    <hyperlink ref="G44" r:id="rId2166" tooltip="מר/243/2016" display="http://www.land.gov.il/PirsumMichrazim/Aspx/pirsumDetails.aspx?id=2432016%EE%F8&amp;rc=4&amp;tr=6"/>
    <hyperlink ref="G56" r:id="rId2167" display="http://www.land.gov.il/PirsumMichrazim/Aspx/pirsumDetails.aspx?id=1012016%FA%E0&amp;rc=1&amp;tr=2"/>
    <hyperlink ref="G66" r:id="rId2168" tooltip="בש/203/2016 " display="http://www.land.gov.il/PirsumMichrazim/Aspx/pirsumDetails.aspx?id=2032016%E1%F9&amp;rc=3&amp;tr=15"/>
    <hyperlink ref="G85" r:id="rId2169" display="http://www.land.gov.il/PirsumMichrazim/Aspx/pirsumDetails.aspx?id=3752016%EE%F8&amp;rc=3&amp;tr=5"/>
    <hyperlink ref="G94" r:id="rId2170" display="http://www.land.gov.il/PirsumMichrazim/Aspx/pirsumDetails.aspx?id=3532016%EE%F8&amp;rc=4&amp;tr=5"/>
    <hyperlink ref="G112" r:id="rId2171" display="http://www.land.gov.il/PirsumMichrazim/Aspx/pirsumDetails.aspx?id=3782016%E7%E9&amp;rc=1&amp;tr=3"/>
    <hyperlink ref="G113" r:id="rId2172" display="http://www.land.gov.il/PirsumMichrazim/Aspx/pirsumDetails.aspx?id=3792016%E7%E9&amp;rc=2&amp;tr=3"/>
    <hyperlink ref="G114" r:id="rId2173" display="http://www.land.gov.il/PirsumMichrazim/Aspx/pirsumDetails.aspx?id=3802016%E7%E9&amp;rc=3&amp;tr=3"/>
    <hyperlink ref="G122" r:id="rId2174" display="http://www.land.gov.il/PirsumMichrazim/Aspx/pirsumDetails.aspx?id=%20%2082017%E9%ED&amp;rc=1&amp;tr=4"/>
    <hyperlink ref="G123" r:id="rId2175" display="http://www.land.gov.il/PirsumMichrazim/Aspx/pirsumDetails.aspx?id=%20112017%E9%ED&amp;rc=2&amp;tr=4"/>
    <hyperlink ref="G124" r:id="rId2176" display="http://www.land.gov.il/PirsumMichrazim/Aspx/pirsumDetails.aspx?id=2792016%E9%ED&amp;rc=3&amp;tr=4"/>
    <hyperlink ref="G30" r:id="rId2177" display="http://www.land.gov.il/PirsumMichrazim/Aspx/pirsumDetails.aspx?id=2812016%F6%F4&amp;rc=1&amp;tr=1"/>
    <hyperlink ref="W1634:W1639" r:id="rId2178" display="http://www.land.gov.il/PirsumMichrazim/Aspx/pirsumDetails.aspx?id=1012016%FA%E0&amp;rc=1&amp;tr=2"/>
    <hyperlink ref="W1563" r:id="rId2179" tooltip="מר/228/2016" display="http://www.land.gov.il/PirsumMichrazim/Aspx/pirsumDetails.aspx?id=2282016%EE%F8&amp;rc=4&amp;tr=6"/>
    <hyperlink ref="W1579" r:id="rId2180" tooltip="מר/243/2016" display="http://www.land.gov.il/PirsumMichrazim/Aspx/pirsumDetails.aspx?id=2432016%EE%F8&amp;rc=4&amp;tr=6"/>
    <hyperlink ref="W1580" r:id="rId2181" tooltip="מר/243/2016" display="http://www.land.gov.il/PirsumMichrazim/Aspx/pirsumDetails.aspx?id=2432016%EE%F8&amp;rc=4&amp;tr=6"/>
    <hyperlink ref="W1559" r:id="rId2182" tooltip="מר/228/2016" display="http://www.land.gov.il/PirsumMichrazim/Aspx/pirsumDetails.aspx?id=2282016%EE%F8&amp;rc=4&amp;tr=6"/>
    <hyperlink ref="W1556" r:id="rId2183" tooltip="מר/229/2016"/>
    <hyperlink ref="E77" r:id="rId2184" display="http://www.land.gov.il/PirsumMichrazim/Aspx/pirsumDetails.aspx?id=2032016%E1%F9&amp;rc=4&amp;tr=196"/>
    <hyperlink ref="E78" r:id="rId2185" display="http://www.land.gov.il/PirsumMichrazim/Aspx/pirsumDetails.aspx?id=3962016%E1%F9&amp;rc=9&amp;tr=196"/>
    <hyperlink ref="B77:B78" r:id="rId2186" tooltip="פארק הנחל" display="http://www.land.gov.il/shivukweb/pages/Prj_nahal.html"/>
    <hyperlink ref="E76" r:id="rId2187" display="http://www.land.gov.il/PirsumMichrazim/Aspx/pirsumDetails.aspx?id=%20252017%E1%F9&amp;rc=1&amp;tr=196"/>
    <hyperlink ref="E70" r:id="rId2188" display="http://www.land.gov.il/PirsumMichrazim/Aspx/pirsumDetails.aspx?id=1912016%E1%F9&amp;rc=3&amp;tr=196"/>
    <hyperlink ref="E71" r:id="rId2189" display="http://www.land.gov.il/PirsumMichrazim/Aspx/pirsumDetails.aspx?id=2742016%E1%F9&amp;rc=7&amp;tr=196"/>
    <hyperlink ref="E72" r:id="rId2190" display="http://www.land.gov.il/PirsumMichrazim/Aspx/pirsumDetails.aspx?id=3232016%E1%F9&amp;rc=8&amp;tr=196"/>
    <hyperlink ref="E69" r:id="rId2191" display="http://www.land.gov.il/PirsumMichrazim/Aspx/pirsumDetails.aspx?id=2532015%E1%F9&amp;rc=14&amp;tr=196"/>
    <hyperlink ref="E66" r:id="rId2192" display="http://www.land.gov.il/PirsumMichrazim/Aspx/pirsumDetails.aspx?id=%20772015%E1%F9&amp;rc=12&amp;tr=196"/>
    <hyperlink ref="E68" r:id="rId2193" display="http://www.land.gov.il/PirsumMichrazim/Aspx/pirsumDetails.aspx?id=3192015%E1%F9&amp;rc=17&amp;tr=196"/>
    <hyperlink ref="E67" r:id="rId2194" display="http://www.land.gov.il/PirsumMichrazim/Aspx/pirsumDetails.aspx?id=3342014%E1%F9&amp;rc=28&amp;tr=196"/>
    <hyperlink ref="E74" r:id="rId2195" display="http://www.land.gov.il/PirsumMichrazim/Aspx/pirsumDetails.aspx?id=1412014%E1%F9&amp;rc=22&amp;tr=196"/>
    <hyperlink ref="E75" r:id="rId2196" display="http://www.land.gov.il/PirsumMichrazim/Aspx/pirsumDetails.aspx?id=1972014%E1%F9&amp;rc=23&amp;tr=196"/>
    <hyperlink ref="E73" r:id="rId2197" display="http://www.land.gov.il/PirsumMichrazim/Aspx/pirsumDetails.aspx?id=3542013%E1%F9&amp;rc=41&amp;tr=196"/>
    <hyperlink ref="AK6" r:id="rId2198" display="http://www.land.gov.il/PirsumMichrazim/Aspx/pirsumDetails.aspx?id=3112016%E9%ED&amp;rc=2&amp;tr=74"/>
    <hyperlink ref="AK4" r:id="rId2199" display="http://www.land.gov.il/PirsumMichrazim/Aspx/pirsumDetails.aspx?id=3132015%E9%ED&amp;rc=5&amp;tr=74"/>
    <hyperlink ref="AK5" r:id="rId2200" display="http://www.land.gov.il/PirsumMichrazim/Aspx/pirsumDetails.aspx?id=3362015%E9%ED&amp;rc=7&amp;tr=74"/>
    <hyperlink ref="AK3" r:id="rId2201"/>
    <hyperlink ref="AP5" r:id="rId2202" display="http://www.land.gov.il/PirsumMichrazim/Aspx/pirsumDetails.aspx?id=3112016%E9%ED&amp;rc=1&amp;tr=1"/>
    <hyperlink ref="E59" r:id="rId2203" display="337/2015/ים"/>
    <hyperlink ref="E60" r:id="rId2204" display="http://www.land.gov.il/PirsumMichrazim/Aspx/pirsumDetails.aspx?id=3362015%E9%ED&amp;rc=7&amp;tr=74"/>
    <hyperlink ref="W1718" r:id="rId2205"/>
    <hyperlink ref="W1720" r:id="rId2206"/>
    <hyperlink ref="W1719" r:id="rId2207"/>
    <hyperlink ref="W1721" r:id="rId2208"/>
    <hyperlink ref="W1722" r:id="rId2209"/>
    <hyperlink ref="W1724" r:id="rId2210"/>
    <hyperlink ref="W1728" r:id="rId2211"/>
    <hyperlink ref="W1731" r:id="rId2212"/>
    <hyperlink ref="W1725" r:id="rId2213"/>
    <hyperlink ref="W1726" r:id="rId2214"/>
    <hyperlink ref="W1727" r:id="rId2215"/>
    <hyperlink ref="W1729" r:id="rId2216"/>
    <hyperlink ref="W1733" r:id="rId2217"/>
    <hyperlink ref="W1723" r:id="rId2218"/>
    <hyperlink ref="W1732" r:id="rId2219"/>
    <hyperlink ref="W1730" r:id="rId2220"/>
    <hyperlink ref="E114" r:id="rId2221"/>
    <hyperlink ref="E113" r:id="rId2222"/>
    <hyperlink ref="E115" r:id="rId2223"/>
    <hyperlink ref="B113:B115" r:id="rId2224" tooltip="נאות אפק" display="http://www.land.gov.il/shivukweb/pages/Prj_neotafek.html"/>
    <hyperlink ref="E118" r:id="rId2225" display="http://www.land.gov.il/PirsumMichrazim/Aspx/pirsumDetails.aspx?id=3802016%E7%E9&amp;rc=3&amp;tr=3"/>
    <hyperlink ref="E119" r:id="rId2226" tooltip="ק/425 " display="http://www.land.gov.il/IturTabot2/taba2.aspx?tbMerchav=306&amp;tUniqueID=1&amp;sSug=23%2c24%2c26%2c72%2c21%2c20%2c62%2c31%2c41%2c25%2c22%2c13%2c61%2c32%2c73%2c40%2c9%2c12%2c60%2c71%2c70%2c67%2c68%2c69%2c30%2c50&amp;tblView=tblView_e4781b4803f2&amp;tbMsTochnit=%25u05e7/425"/>
    <hyperlink ref="E121" r:id="rId2227"/>
    <hyperlink ref="E120" r:id="rId2228"/>
    <hyperlink ref="E116" r:id="rId2229"/>
    <hyperlink ref="AC1560" r:id="rId2230"/>
    <hyperlink ref="B116" r:id="rId2231" tooltip="נאות אפק" display="http://www.land.gov.il/shivukweb/pages/Prj_neotafek.html"/>
    <hyperlink ref="B117" r:id="rId2232" tooltip="נאות אפק" display="http://www.land.gov.il/shivukweb/pages/Prj_neotafek.html"/>
    <hyperlink ref="E117" r:id="rId2233"/>
    <hyperlink ref="Q2284" r:id="rId2234" display="http://www.land.gov.il/TozaotMichrazim/resultsDetailed.aspx?id=87894&amp;rc=18&amp;tr=424"/>
    <hyperlink ref="Q1697" r:id="rId2235" display="http://www.land.gov.il/TozaotMichrazim/resultsDetailed.aspx?id=87895&amp;rc=19&amp;tr=424"/>
    <hyperlink ref="Q1696" r:id="rId2236" display="http://www.land.gov.il/TozaotMichrazim/resultsDetailed.aspx?id=87840&amp;rc=20&amp;tr=424"/>
    <hyperlink ref="Q2199" r:id="rId2237" display="http://www.land.gov.il/TozaotMichrazim/resultsDetailed.aspx?id=87841&amp;rc=21&amp;tr=424"/>
    <hyperlink ref="Q2200" r:id="rId2238" display="http://www.land.gov.il/TozaotMichrazim/resultsDetailed.aspx?id=87842&amp;rc=22&amp;tr=424"/>
    <hyperlink ref="Q2201" r:id="rId2239" display="http://www.land.gov.il/TozaotMichrazim/resultsDetailed.aspx?id=87843&amp;rc=23&amp;tr=424"/>
    <hyperlink ref="Q2202" r:id="rId2240" display="http://www.land.gov.il/TozaotMichrazim/resultsDetailed.aspx?id=87844&amp;rc=24&amp;tr=424"/>
    <hyperlink ref="Q2203" r:id="rId2241" display="http://www.land.gov.il/TozaotMichrazim/resultsDetailed.aspx?id=87845&amp;rc=25&amp;tr=424"/>
    <hyperlink ref="Q2204" r:id="rId2242" display="http://www.land.gov.il/TozaotMichrazim/resultsDetailed.aspx?id=87846&amp;rc=26&amp;tr=424"/>
    <hyperlink ref="Q2205" r:id="rId2243" display="http://www.land.gov.il/TozaotMichrazim/resultsDetailed.aspx?id=87847&amp;rc=27&amp;tr=424"/>
    <hyperlink ref="Q2206" r:id="rId2244" display="http://www.land.gov.il/TozaotMichrazim/resultsDetailed.aspx?id=87848&amp;rc=28&amp;tr=424"/>
    <hyperlink ref="Q2207" r:id="rId2245" display="http://www.land.gov.il/TozaotMichrazim/resultsDetailed.aspx?id=87849&amp;rc=29&amp;tr=424"/>
    <hyperlink ref="Q2208" r:id="rId2246" display="http://www.land.gov.il/TozaotMichrazim/resultsDetailed.aspx?id=87850&amp;rc=30&amp;tr=424"/>
    <hyperlink ref="Q2209" r:id="rId2247" display="http://www.land.gov.il/TozaotMichrazim/resultsDetailed.aspx?id=87851&amp;rc=31&amp;tr=424"/>
    <hyperlink ref="Q2210" r:id="rId2248" display="http://www.land.gov.il/TozaotMichrazim/resultsDetailed.aspx?id=87852&amp;rc=32&amp;tr=424"/>
    <hyperlink ref="Q2211" r:id="rId2249" display="http://www.land.gov.il/TozaotMichrazim/resultsDetailed.aspx?id=87853&amp;rc=33&amp;tr=424"/>
    <hyperlink ref="Q2212" r:id="rId2250" display="http://www.land.gov.il/TozaotMichrazim/resultsDetailed.aspx?id=87854&amp;rc=34&amp;tr=424"/>
    <hyperlink ref="Q1590" r:id="rId2251" display="http://www.land.gov.il/TozaotMichrazim/resultsDetailed.aspx?id=87755&amp;rc=196&amp;tr=424"/>
    <hyperlink ref="Q1591" r:id="rId2252" display="http://www.land.gov.il/TozaotMichrazim/resultsDetailed.aspx?id=87756&amp;rc=197&amp;tr=424"/>
    <hyperlink ref="Q1592" r:id="rId2253" display="http://www.land.gov.il/TozaotMichrazim/resultsDetailed.aspx?id=87757&amp;rc=198&amp;tr=424"/>
    <hyperlink ref="Q1593" r:id="rId2254" display="http://www.land.gov.il/TozaotMichrazim/resultsDetailed.aspx?id=87758&amp;rc=199&amp;tr=424"/>
    <hyperlink ref="Q1594" r:id="rId2255" display="http://www.land.gov.il/TozaotMichrazim/resultsDetailed.aspx?id=87759&amp;rc=200&amp;tr=424"/>
    <hyperlink ref="Q1391" r:id="rId2256" display="http://www.land.gov.il/TozaotMichrazim/resultsDetailed.aspx?id=87761&amp;rc=201&amp;tr=424"/>
    <hyperlink ref="Q1392" r:id="rId2257" display="http://www.land.gov.il/TozaotMichrazim/resultsDetailed.aspx?id=87762&amp;rc=202&amp;tr=424"/>
    <hyperlink ref="Q1393" r:id="rId2258" display="http://www.land.gov.il/TozaotMichrazim/resultsDetailed.aspx?id=87763&amp;rc=203&amp;tr=424"/>
    <hyperlink ref="Q1394" r:id="rId2259" display="http://www.land.gov.il/TozaotMichrazim/resultsDetailed.aspx?id=87764&amp;rc=204&amp;tr=424"/>
    <hyperlink ref="Q1395" r:id="rId2260" display="http://www.land.gov.il/TozaotMichrazim/resultsDetailed.aspx?id=87765&amp;rc=205&amp;tr=424"/>
    <hyperlink ref="Q1396" r:id="rId2261" display="http://www.land.gov.il/TozaotMichrazim/resultsDetailed.aspx?id=87766&amp;rc=206&amp;tr=424"/>
    <hyperlink ref="Q1397" r:id="rId2262" display="http://www.land.gov.il/TozaotMichrazim/resultsDetailed.aspx?id=87767&amp;rc=207&amp;tr=424"/>
    <hyperlink ref="Q1398" r:id="rId2263" display="http://www.land.gov.il/TozaotMichrazim/resultsDetailed.aspx?id=87768&amp;rc=208&amp;tr=424"/>
    <hyperlink ref="Q1399" r:id="rId2264" display="http://www.land.gov.il/TozaotMichrazim/resultsDetailed.aspx?id=87769&amp;rc=209&amp;tr=424"/>
    <hyperlink ref="Q1400" r:id="rId2265" display="http://www.land.gov.il/TozaotMichrazim/resultsDetailed.aspx?id=87770&amp;rc=210&amp;tr=424"/>
    <hyperlink ref="Q1401" r:id="rId2266" display="http://www.land.gov.il/TozaotMichrazim/resultsDetailed.aspx?id=87771&amp;rc=211&amp;tr=424"/>
    <hyperlink ref="Q1402" r:id="rId2267" display="http://www.land.gov.il/TozaotMichrazim/resultsDetailed.aspx?id=87772&amp;rc=212&amp;tr=424"/>
    <hyperlink ref="Q2285" r:id="rId2268" display="http://www.land.gov.il/TozaotMichrazim/resultsDetailed.aspx?id=87775&amp;rc=214&amp;tr=424"/>
    <hyperlink ref="Q1529" r:id="rId2269" display="http://www.land.gov.il/TozaotMichrazim/resultsDetailed.aspx?id=87776&amp;rc=215&amp;tr=424"/>
    <hyperlink ref="Q2314" r:id="rId2270" display="http://www.land.gov.il/TozaotMichrazim/resultsDetailed.aspx?id=87777&amp;rc=216&amp;tr=424"/>
    <hyperlink ref="Q2315" r:id="rId2271" display="http://www.land.gov.il/TozaotMichrazim/resultsDetailed.aspx?id=87778&amp;rc=217&amp;tr=424"/>
    <hyperlink ref="Q2316" r:id="rId2272" display="http://www.land.gov.il/TozaotMichrazim/resultsDetailed.aspx?id=87779&amp;rc=218&amp;tr=424"/>
    <hyperlink ref="Q2317" r:id="rId2273" display="http://www.land.gov.il/TozaotMichrazim/resultsDetailed.aspx?id=87780&amp;rc=219&amp;tr=424"/>
    <hyperlink ref="Q2318" r:id="rId2274" display="http://www.land.gov.il/TozaotMichrazim/resultsDetailed.aspx?id=87781&amp;rc=220&amp;tr=424"/>
    <hyperlink ref="Q1521" r:id="rId2275" display="http://www.land.gov.il/TozaotMichrazim/resultsDetailed.aspx?id=87782&amp;rc=221&amp;tr=424"/>
    <hyperlink ref="Q1403" r:id="rId2276" display="http://www.land.gov.il/TozaotMichrazim/resultsDetailed.aspx?id=87645&amp;rc=223&amp;tr=424"/>
    <hyperlink ref="Q1404" r:id="rId2277" display="http://www.land.gov.il/TozaotMichrazim/resultsDetailed.aspx?id=87646&amp;rc=224&amp;tr=424"/>
    <hyperlink ref="Q1405" r:id="rId2278" display="http://www.land.gov.il/TozaotMichrazim/resultsDetailed.aspx?id=87647&amp;rc=225&amp;tr=424"/>
    <hyperlink ref="Q1406" r:id="rId2279" display="http://www.land.gov.il/TozaotMichrazim/resultsDetailed.aspx?id=87648&amp;rc=226&amp;tr=424"/>
    <hyperlink ref="Q1407" r:id="rId2280" display="http://www.land.gov.il/TozaotMichrazim/resultsDetailed.aspx?id=87649&amp;rc=227&amp;tr=424"/>
    <hyperlink ref="Q1408" r:id="rId2281" display="http://www.land.gov.il/TozaotMichrazim/resultsDetailed.aspx?id=87650&amp;rc=228&amp;tr=424"/>
    <hyperlink ref="Q1409" r:id="rId2282" display="http://www.land.gov.il/TozaotMichrazim/resultsDetailed.aspx?id=87651&amp;rc=229&amp;tr=424"/>
    <hyperlink ref="Q1410" r:id="rId2283" display="http://www.land.gov.il/TozaotMichrazim/resultsDetailed.aspx?id=87652&amp;rc=230&amp;tr=424"/>
    <hyperlink ref="Q1411" r:id="rId2284" display="http://www.land.gov.il/TozaotMichrazim/resultsDetailed.aspx?id=87653&amp;rc=231&amp;tr=424"/>
    <hyperlink ref="Q1412" r:id="rId2285" display="http://www.land.gov.il/TozaotMichrazim/resultsDetailed.aspx?id=87654&amp;rc=232&amp;tr=424"/>
    <hyperlink ref="Q1413" r:id="rId2286" display="http://www.land.gov.il/TozaotMichrazim/resultsDetailed.aspx?id=87655&amp;rc=233&amp;tr=424"/>
    <hyperlink ref="Q1414" r:id="rId2287" display="http://www.land.gov.il/TozaotMichrazim/resultsDetailed.aspx?id=87656&amp;rc=234&amp;tr=424"/>
    <hyperlink ref="Q1415" r:id="rId2288" display="http://www.land.gov.il/TozaotMichrazim/resultsDetailed.aspx?id=87657&amp;rc=235&amp;tr=424"/>
    <hyperlink ref="Q1416" r:id="rId2289" display="http://www.land.gov.il/TozaotMichrazim/resultsDetailed.aspx?id=87658&amp;rc=236&amp;tr=424"/>
    <hyperlink ref="Q1417" r:id="rId2290" display="http://www.land.gov.il/TozaotMichrazim/resultsDetailed.aspx?id=87659&amp;rc=237&amp;tr=424"/>
    <hyperlink ref="Q1418" r:id="rId2291" display="http://www.land.gov.il/TozaotMichrazim/resultsDetailed.aspx?id=87660&amp;rc=238&amp;tr=424"/>
    <hyperlink ref="Q1419" r:id="rId2292" display="http://www.land.gov.il/TozaotMichrazim/resultsDetailed.aspx?id=87661&amp;rc=239&amp;tr=424"/>
    <hyperlink ref="Q1420" r:id="rId2293" display="http://www.land.gov.il/TozaotMichrazim/resultsDetailed.aspx?id=87662&amp;rc=240&amp;tr=424"/>
    <hyperlink ref="Q1421" r:id="rId2294" display="http://www.land.gov.il/TozaotMichrazim/resultsDetailed.aspx?id=87663&amp;rc=241&amp;tr=424"/>
    <hyperlink ref="Q1422" r:id="rId2295" display="http://www.land.gov.il/TozaotMichrazim/resultsDetailed.aspx?id=87664&amp;rc=242&amp;tr=424"/>
    <hyperlink ref="Q1423" r:id="rId2296" display="http://www.land.gov.il/TozaotMichrazim/resultsDetailed.aspx?id=87665&amp;rc=243&amp;tr=424"/>
    <hyperlink ref="Q1424" r:id="rId2297" display="http://www.land.gov.il/TozaotMichrazim/resultsDetailed.aspx?id=87666&amp;rc=244&amp;tr=424"/>
    <hyperlink ref="Q1425" r:id="rId2298" display="http://www.land.gov.il/TozaotMichrazim/resultsDetailed.aspx?id=87667&amp;rc=245&amp;tr=424"/>
    <hyperlink ref="Q1426" r:id="rId2299" display="http://www.land.gov.il/TozaotMichrazim/resultsDetailed.aspx?id=87668&amp;rc=246&amp;tr=424"/>
    <hyperlink ref="Q1427" r:id="rId2300" display="http://www.land.gov.il/TozaotMichrazim/resultsDetailed.aspx?id=87669&amp;rc=247&amp;tr=424"/>
    <hyperlink ref="Q1428" r:id="rId2301" display="http://www.land.gov.il/TozaotMichrazim/resultsDetailed.aspx?id=87670&amp;rc=248&amp;tr=424"/>
    <hyperlink ref="Q1429" r:id="rId2302" display="http://www.land.gov.il/TozaotMichrazim/resultsDetailed.aspx?id=87671&amp;rc=249&amp;tr=424"/>
    <hyperlink ref="Q1430" r:id="rId2303" display="http://www.land.gov.il/TozaotMichrazim/resultsDetailed.aspx?id=87672&amp;rc=250&amp;tr=424"/>
    <hyperlink ref="Q1431" r:id="rId2304" display="http://www.land.gov.il/TozaotMichrazim/resultsDetailed.aspx?id=87673&amp;rc=251&amp;tr=424"/>
    <hyperlink ref="Q1432" r:id="rId2305" display="http://www.land.gov.il/TozaotMichrazim/resultsDetailed.aspx?id=87674&amp;rc=252&amp;tr=424"/>
    <hyperlink ref="Q1433" r:id="rId2306" display="http://www.land.gov.il/TozaotMichrazim/resultsDetailed.aspx?id=87675&amp;rc=253&amp;tr=424"/>
    <hyperlink ref="Q1434" r:id="rId2307" display="http://www.land.gov.il/TozaotMichrazim/resultsDetailed.aspx?id=87676&amp;rc=254&amp;tr=424"/>
    <hyperlink ref="Q1435" r:id="rId2308" display="http://www.land.gov.il/TozaotMichrazim/resultsDetailed.aspx?id=87677&amp;rc=255&amp;tr=424"/>
    <hyperlink ref="Q1436" r:id="rId2309" display="http://www.land.gov.il/TozaotMichrazim/resultsDetailed.aspx?id=87678&amp;rc=256&amp;tr=424"/>
    <hyperlink ref="Q1437" r:id="rId2310" display="http://www.land.gov.il/TozaotMichrazim/resultsDetailed.aspx?id=87679&amp;rc=257&amp;tr=424"/>
    <hyperlink ref="Q1438" r:id="rId2311" display="http://www.land.gov.il/TozaotMichrazim/resultsDetailed.aspx?id=87680&amp;rc=258&amp;tr=424"/>
    <hyperlink ref="Q1439" r:id="rId2312" display="http://www.land.gov.il/TozaotMichrazim/resultsDetailed.aspx?id=87681&amp;rc=259&amp;tr=424"/>
    <hyperlink ref="Q1440" r:id="rId2313" display="http://www.land.gov.il/TozaotMichrazim/resultsDetailed.aspx?id=87682&amp;rc=260&amp;tr=424"/>
    <hyperlink ref="Q1441" r:id="rId2314" display="http://www.land.gov.il/TozaotMichrazim/resultsDetailed.aspx?id=87683&amp;rc=261&amp;tr=424"/>
    <hyperlink ref="Q1442" r:id="rId2315" display="http://www.land.gov.il/TozaotMichrazim/resultsDetailed.aspx?id=87684&amp;rc=262&amp;tr=424"/>
    <hyperlink ref="Q1443" r:id="rId2316" display="http://www.land.gov.il/TozaotMichrazim/resultsDetailed.aspx?id=87685&amp;rc=263&amp;tr=424"/>
    <hyperlink ref="Q1444" r:id="rId2317" display="http://www.land.gov.il/TozaotMichrazim/resultsDetailed.aspx?id=87686&amp;rc=264&amp;tr=424"/>
    <hyperlink ref="Q1445" r:id="rId2318" display="http://www.land.gov.il/TozaotMichrazim/resultsDetailed.aspx?id=87687&amp;rc=265&amp;tr=424"/>
    <hyperlink ref="Q1446" r:id="rId2319" display="http://www.land.gov.il/TozaotMichrazim/resultsDetailed.aspx?id=87688&amp;rc=266&amp;tr=424"/>
    <hyperlink ref="Q1447" r:id="rId2320" display="http://www.land.gov.il/TozaotMichrazim/resultsDetailed.aspx?id=87689&amp;rc=267&amp;tr=424"/>
    <hyperlink ref="Q1448" r:id="rId2321" display="http://www.land.gov.il/TozaotMichrazim/resultsDetailed.aspx?id=87690&amp;rc=268&amp;tr=424"/>
    <hyperlink ref="Q1449" r:id="rId2322" display="http://www.land.gov.il/TozaotMichrazim/resultsDetailed.aspx?id=87691&amp;rc=269&amp;tr=424"/>
    <hyperlink ref="Q1450" r:id="rId2323" display="http://www.land.gov.il/TozaotMichrazim/resultsDetailed.aspx?id=87692&amp;rc=270&amp;tr=424"/>
    <hyperlink ref="Q1451" r:id="rId2324" display="http://www.land.gov.il/TozaotMichrazim/resultsDetailed.aspx?id=87693&amp;rc=271&amp;tr=424"/>
    <hyperlink ref="Q1452" r:id="rId2325" display="http://www.land.gov.il/TozaotMichrazim/resultsDetailed.aspx?id=87694&amp;rc=272&amp;tr=424"/>
    <hyperlink ref="Q1453" r:id="rId2326" display="http://www.land.gov.il/TozaotMichrazim/resultsDetailed.aspx?id=87695&amp;rc=273&amp;tr=424"/>
    <hyperlink ref="Q1454" r:id="rId2327" display="http://www.land.gov.il/TozaotMichrazim/resultsDetailed.aspx?id=87696&amp;rc=274&amp;tr=424"/>
    <hyperlink ref="Q1455" r:id="rId2328" display="http://www.land.gov.il/TozaotMichrazim/resultsDetailed.aspx?id=87697&amp;rc=275&amp;tr=424"/>
    <hyperlink ref="Q1456" r:id="rId2329" display="http://www.land.gov.il/TozaotMichrazim/resultsDetailed.aspx?id=87698&amp;rc=276&amp;tr=424"/>
    <hyperlink ref="Q1457" r:id="rId2330" display="http://www.land.gov.il/TozaotMichrazim/resultsDetailed.aspx?id=87699&amp;rc=277&amp;tr=424"/>
    <hyperlink ref="Q1458" r:id="rId2331" display="http://www.land.gov.il/TozaotMichrazim/resultsDetailed.aspx?id=87700&amp;rc=278&amp;tr=424"/>
    <hyperlink ref="Q1459" r:id="rId2332" display="http://www.land.gov.il/TozaotMichrazim/resultsDetailed.aspx?id=87701&amp;rc=279&amp;tr=424"/>
    <hyperlink ref="Q1460" r:id="rId2333" display="http://www.land.gov.il/TozaotMichrazim/resultsDetailed.aspx?id=87702&amp;rc=280&amp;tr=424"/>
    <hyperlink ref="Q1461" r:id="rId2334" display="http://www.land.gov.il/TozaotMichrazim/resultsDetailed.aspx?id=87703&amp;rc=281&amp;tr=424"/>
    <hyperlink ref="Q1462" r:id="rId2335" display="http://www.land.gov.il/TozaotMichrazim/resultsDetailed.aspx?id=87704&amp;rc=282&amp;tr=424"/>
    <hyperlink ref="Q1463" r:id="rId2336" display="http://www.land.gov.il/TozaotMichrazim/resultsDetailed.aspx?id=87705&amp;rc=283&amp;tr=424"/>
    <hyperlink ref="Q1464" r:id="rId2337" display="http://www.land.gov.il/TozaotMichrazim/resultsDetailed.aspx?id=87706&amp;rc=284&amp;tr=424"/>
    <hyperlink ref="Q1465" r:id="rId2338" display="http://www.land.gov.il/TozaotMichrazim/resultsDetailed.aspx?id=87707&amp;rc=285&amp;tr=424"/>
    <hyperlink ref="Q1466" r:id="rId2339" display="http://www.land.gov.il/TozaotMichrazim/resultsDetailed.aspx?id=87708&amp;rc=286&amp;tr=424"/>
    <hyperlink ref="Q1467" r:id="rId2340" display="http://www.land.gov.il/TozaotMichrazim/resultsDetailed.aspx?id=87709&amp;rc=287&amp;tr=424"/>
    <hyperlink ref="Q1468" r:id="rId2341" display="http://www.land.gov.il/TozaotMichrazim/resultsDetailed.aspx?id=87710&amp;rc=288&amp;tr=424"/>
    <hyperlink ref="Q1469" r:id="rId2342" display="http://www.land.gov.il/TozaotMichrazim/resultsDetailed.aspx?id=87711&amp;rc=289&amp;tr=424"/>
    <hyperlink ref="Q1470" r:id="rId2343" display="http://www.land.gov.il/TozaotMichrazim/resultsDetailed.aspx?id=87712&amp;rc=290&amp;tr=424"/>
    <hyperlink ref="Q1471" r:id="rId2344" display="http://www.land.gov.il/TozaotMichrazim/resultsDetailed.aspx?id=87713&amp;rc=291&amp;tr=424"/>
    <hyperlink ref="Q1472" r:id="rId2345" display="http://www.land.gov.il/TozaotMichrazim/resultsDetailed.aspx?id=87714&amp;rc=292&amp;tr=424"/>
    <hyperlink ref="Q1473" r:id="rId2346" display="http://www.land.gov.il/TozaotMichrazim/resultsDetailed.aspx?id=87715&amp;rc=293&amp;tr=424"/>
    <hyperlink ref="Q1474" r:id="rId2347" display="http://www.land.gov.il/TozaotMichrazim/resultsDetailed.aspx?id=87716&amp;rc=294&amp;tr=424"/>
    <hyperlink ref="Q1475" r:id="rId2348" display="http://www.land.gov.il/TozaotMichrazim/resultsDetailed.aspx?id=87717&amp;rc=295&amp;tr=424"/>
    <hyperlink ref="Q1476" r:id="rId2349" display="http://www.land.gov.il/TozaotMichrazim/resultsDetailed.aspx?id=87718&amp;rc=296&amp;tr=424"/>
    <hyperlink ref="Q1477" r:id="rId2350" display="http://www.land.gov.il/TozaotMichrazim/resultsDetailed.aspx?id=87719&amp;rc=297&amp;tr=424"/>
    <hyperlink ref="Q1478" r:id="rId2351" display="http://www.land.gov.il/TozaotMichrazim/resultsDetailed.aspx?id=87720&amp;rc=298&amp;tr=424"/>
    <hyperlink ref="Q1479" r:id="rId2352" display="http://www.land.gov.il/TozaotMichrazim/resultsDetailed.aspx?id=87721&amp;rc=299&amp;tr=424"/>
    <hyperlink ref="Q1480" r:id="rId2353" display="http://www.land.gov.il/TozaotMichrazim/resultsDetailed.aspx?id=87722&amp;rc=300&amp;tr=424"/>
    <hyperlink ref="Q1481" r:id="rId2354" display="http://www.land.gov.il/TozaotMichrazim/resultsDetailed.aspx?id=87723&amp;rc=301&amp;tr=424"/>
    <hyperlink ref="Q1482" r:id="rId2355" display="http://www.land.gov.il/TozaotMichrazim/resultsDetailed.aspx?id=87724&amp;rc=302&amp;tr=424"/>
    <hyperlink ref="Q1483" r:id="rId2356" display="http://www.land.gov.il/TozaotMichrazim/resultsDetailed.aspx?id=87725&amp;rc=303&amp;tr=424"/>
    <hyperlink ref="Q1484" r:id="rId2357" display="http://www.land.gov.il/TozaotMichrazim/resultsDetailed.aspx?id=87726&amp;rc=304&amp;tr=424"/>
    <hyperlink ref="Q1485" r:id="rId2358" display="http://www.land.gov.il/TozaotMichrazim/resultsDetailed.aspx?id=87727&amp;rc=305&amp;tr=424"/>
    <hyperlink ref="Q1486" r:id="rId2359" display="http://www.land.gov.il/TozaotMichrazim/resultsDetailed.aspx?id=87728&amp;rc=306&amp;tr=424"/>
    <hyperlink ref="Q1487" r:id="rId2360" display="http://www.land.gov.il/TozaotMichrazim/resultsDetailed.aspx?id=87729&amp;rc=307&amp;tr=424"/>
    <hyperlink ref="Q1488" r:id="rId2361" display="http://www.land.gov.il/TozaotMichrazim/resultsDetailed.aspx?id=87730&amp;rc=308&amp;tr=424"/>
    <hyperlink ref="Q1489" r:id="rId2362" display="http://www.land.gov.il/TozaotMichrazim/resultsDetailed.aspx?id=87731&amp;rc=309&amp;tr=424"/>
    <hyperlink ref="Q1490" r:id="rId2363" display="http://www.land.gov.il/TozaotMichrazim/resultsDetailed.aspx?id=87732&amp;rc=310&amp;tr=424"/>
    <hyperlink ref="Q1491" r:id="rId2364" display="http://www.land.gov.il/TozaotMichrazim/resultsDetailed.aspx?id=87733&amp;rc=311&amp;tr=424"/>
    <hyperlink ref="Q1492" r:id="rId2365" display="http://www.land.gov.il/TozaotMichrazim/resultsDetailed.aspx?id=87734&amp;rc=312&amp;tr=424"/>
    <hyperlink ref="Q1493" r:id="rId2366" display="http://www.land.gov.il/TozaotMichrazim/resultsDetailed.aspx?id=87735&amp;rc=313&amp;tr=424"/>
    <hyperlink ref="Q1494" r:id="rId2367" display="http://www.land.gov.il/TozaotMichrazim/resultsDetailed.aspx?id=87736&amp;rc=314&amp;tr=424"/>
    <hyperlink ref="Q1495" r:id="rId2368" display="http://www.land.gov.il/TozaotMichrazim/resultsDetailed.aspx?id=87737&amp;rc=315&amp;tr=424"/>
    <hyperlink ref="Q1496" r:id="rId2369" display="http://www.land.gov.il/TozaotMichrazim/resultsDetailed.aspx?id=87738&amp;rc=316&amp;tr=424"/>
    <hyperlink ref="Q1497" r:id="rId2370" display="http://www.land.gov.il/TozaotMichrazim/resultsDetailed.aspx?id=87739&amp;rc=317&amp;tr=424"/>
    <hyperlink ref="Q1498" r:id="rId2371" display="http://www.land.gov.il/TozaotMichrazim/resultsDetailed.aspx?id=87740&amp;rc=318&amp;tr=424"/>
    <hyperlink ref="Q1499" r:id="rId2372" display="http://www.land.gov.il/TozaotMichrazim/resultsDetailed.aspx?id=87741&amp;rc=319&amp;tr=424"/>
    <hyperlink ref="Q1500" r:id="rId2373" display="http://www.land.gov.il/TozaotMichrazim/resultsDetailed.aspx?id=87742&amp;rc=320&amp;tr=424"/>
    <hyperlink ref="Q1501" r:id="rId2374" display="http://www.land.gov.il/TozaotMichrazim/resultsDetailed.aspx?id=87743&amp;rc=321&amp;tr=424"/>
    <hyperlink ref="Q1502" r:id="rId2375" display="http://www.land.gov.il/TozaotMichrazim/resultsDetailed.aspx?id=87744&amp;rc=322&amp;tr=424"/>
    <hyperlink ref="Q1503" r:id="rId2376" display="http://www.land.gov.il/TozaotMichrazim/resultsDetailed.aspx?id=87745&amp;rc=323&amp;tr=424"/>
    <hyperlink ref="Q1504" r:id="rId2377" display="http://www.land.gov.il/TozaotMichrazim/resultsDetailed.aspx?id=87746&amp;rc=324&amp;tr=424"/>
    <hyperlink ref="Q1505" r:id="rId2378" display="http://www.land.gov.il/TozaotMichrazim/resultsDetailed.aspx?id=87747&amp;rc=325&amp;tr=424"/>
    <hyperlink ref="Q1506" r:id="rId2379" display="http://www.land.gov.il/TozaotMichrazim/resultsDetailed.aspx?id=87748&amp;rc=326&amp;tr=424"/>
    <hyperlink ref="Q1507" r:id="rId2380" display="http://www.land.gov.il/TozaotMichrazim/resultsDetailed.aspx?id=87749&amp;rc=327&amp;tr=424"/>
    <hyperlink ref="Q2286" r:id="rId2381" display="http://www.land.gov.il/TozaotMichrazim/resultsDetailed.aspx?id=87643&amp;rc=332&amp;tr=424"/>
    <hyperlink ref="Q2287" r:id="rId2382" display="http://www.land.gov.il/TozaotMichrazim/resultsDetailed.aspx?id=87287&amp;rc=333&amp;tr=424"/>
    <hyperlink ref="Q2288" r:id="rId2383" display="http://www.land.gov.il/TozaotMichrazim/resultsDetailed.aspx?id=87288&amp;rc=334&amp;tr=424"/>
    <hyperlink ref="Q2289" r:id="rId2384" display="http://www.land.gov.il/TozaotMichrazim/resultsDetailed.aspx?id=87289&amp;rc=335&amp;tr=424"/>
    <hyperlink ref="Q2290" r:id="rId2385" display="http://www.land.gov.il/TozaotMichrazim/resultsDetailed.aspx?id=87290&amp;rc=336&amp;tr=424"/>
    <hyperlink ref="Q2291" r:id="rId2386" display="http://www.land.gov.il/TozaotMichrazim/resultsDetailed.aspx?id=87291&amp;rc=337&amp;tr=424"/>
    <hyperlink ref="Q2292" r:id="rId2387" display="http://www.land.gov.il/TozaotMichrazim/resultsDetailed.aspx?id=87292&amp;rc=338&amp;tr=424"/>
    <hyperlink ref="Q2293" r:id="rId2388" display="http://www.land.gov.il/TozaotMichrazim/resultsDetailed.aspx?id=87293&amp;rc=339&amp;tr=424"/>
    <hyperlink ref="Q2294" r:id="rId2389" display="http://www.land.gov.il/TozaotMichrazim/resultsDetailed.aspx?id=87294&amp;rc=340&amp;tr=424"/>
    <hyperlink ref="Q2295" r:id="rId2390" display="http://www.land.gov.il/TozaotMichrazim/resultsDetailed.aspx?id=87295&amp;rc=341&amp;tr=424"/>
    <hyperlink ref="Q2296" r:id="rId2391" display="http://www.land.gov.il/TozaotMichrazim/resultsDetailed.aspx?id=87296&amp;rc=342&amp;tr=424"/>
    <hyperlink ref="Q2297" r:id="rId2392" display="http://www.land.gov.il/TozaotMichrazim/resultsDetailed.aspx?id=87297&amp;rc=343&amp;tr=424"/>
    <hyperlink ref="Q2298" r:id="rId2393" display="http://www.land.gov.il/TozaotMichrazim/resultsDetailed.aspx?id=87298&amp;rc=344&amp;tr=424"/>
    <hyperlink ref="Q2299" r:id="rId2394" display="http://www.land.gov.il/TozaotMichrazim/resultsDetailed.aspx?id=87299&amp;rc=345&amp;tr=424"/>
    <hyperlink ref="Q2300" r:id="rId2395" display="http://www.land.gov.il/TozaotMichrazim/resultsDetailed.aspx?id=87300&amp;rc=346&amp;tr=424"/>
    <hyperlink ref="Q2301" r:id="rId2396" display="http://www.land.gov.il/TozaotMichrazim/resultsDetailed.aspx?id=87301&amp;rc=347&amp;tr=424"/>
    <hyperlink ref="Q2302" r:id="rId2397" display="http://www.land.gov.il/TozaotMichrazim/resultsDetailed.aspx?id=87302&amp;rc=348&amp;tr=424"/>
    <hyperlink ref="Q2303" r:id="rId2398" display="http://www.land.gov.il/TozaotMichrazim/resultsDetailed.aspx?id=87303&amp;rc=349&amp;tr=424"/>
    <hyperlink ref="Q2304" r:id="rId2399" display="http://www.land.gov.il/TozaotMichrazim/resultsDetailed.aspx?id=87304&amp;rc=350&amp;tr=424"/>
    <hyperlink ref="Q2305" r:id="rId2400" display="http://www.land.gov.il/TozaotMichrazim/resultsDetailed.aspx?id=87305&amp;rc=351&amp;tr=424"/>
    <hyperlink ref="Q2306" r:id="rId2401" display="http://www.land.gov.il/TozaotMichrazim/resultsDetailed.aspx?id=87306&amp;rc=352&amp;tr=424"/>
    <hyperlink ref="Q2307" r:id="rId2402" display="http://www.land.gov.il/TozaotMichrazim/resultsDetailed.aspx?id=87307&amp;rc=353&amp;tr=424"/>
    <hyperlink ref="Q2308" r:id="rId2403" display="http://www.land.gov.il/TozaotMichrazim/resultsDetailed.aspx?id=87308&amp;rc=354&amp;tr=424"/>
    <hyperlink ref="Q1710" r:id="rId2404" display="http://www.land.gov.il/TozaotMichrazim/resultsDetailed.aspx?id=87309&amp;rc=355&amp;tr=424"/>
    <hyperlink ref="Q1711" r:id="rId2405" display="http://www.land.gov.il/TozaotMichrazim/resultsDetailed.aspx?id=87310&amp;rc=356&amp;tr=424"/>
    <hyperlink ref="Q1707" r:id="rId2406" display="http://www.land.gov.il/TozaotMichrazim/resultsDetailed.aspx?id=87284&amp;rc=374&amp;tr=424"/>
    <hyperlink ref="Q1708" r:id="rId2407" display="http://www.land.gov.il/TozaotMichrazim/resultsDetailed.aspx?id=87285&amp;rc=375&amp;tr=424"/>
    <hyperlink ref="Q1709" r:id="rId2408" display="http://www.land.gov.il/TozaotMichrazim/resultsDetailed.aspx?id=87286&amp;rc=376&amp;tr=424"/>
    <hyperlink ref="Q1583" r:id="rId2409" display="http://www.land.gov.il/TozaotMichrazim/resultsDetailed.aspx?id=87333&amp;rc=377&amp;tr=424"/>
    <hyperlink ref="Q2319" r:id="rId2410" display="http://www.land.gov.il/TozaotMichrazim/resultsDetailed.aspx?id=87334&amp;rc=378&amp;tr=424"/>
    <hyperlink ref="Q1595" r:id="rId2411" display="http://www.land.gov.il/TozaotMichrazim/resultsDetailed.aspx?id=87335&amp;rc=379&amp;tr=424"/>
    <hyperlink ref="Q1596" r:id="rId2412" display="http://www.land.gov.il/TozaotMichrazim/resultsDetailed.aspx?id=87336&amp;rc=380&amp;tr=424"/>
    <hyperlink ref="Q1597" r:id="rId2413" display="http://www.land.gov.il/TozaotMichrazim/resultsDetailed.aspx?id=87337&amp;rc=381&amp;tr=424"/>
    <hyperlink ref="Q1598" r:id="rId2414" display="http://www.land.gov.il/TozaotMichrazim/resultsDetailed.aspx?id=87338&amp;rc=382&amp;tr=424"/>
    <hyperlink ref="Q1599" r:id="rId2415" display="http://www.land.gov.il/TozaotMichrazim/resultsDetailed.aspx?id=87339&amp;rc=383&amp;tr=424"/>
    <hyperlink ref="Q2213" r:id="rId2416" display="http://www.land.gov.il/TozaotMichrazim/resultsDetailed.aspx?id=87340&amp;rc=384&amp;tr=424"/>
    <hyperlink ref="Q2214" r:id="rId2417" display="http://www.land.gov.il/TozaotMichrazim/resultsDetailed.aspx?id=87341&amp;rc=385&amp;tr=424"/>
    <hyperlink ref="Q2215" r:id="rId2418" display="http://www.land.gov.il/TozaotMichrazim/resultsDetailed.aspx?id=87342&amp;rc=386&amp;tr=424"/>
    <hyperlink ref="Q2216" r:id="rId2419" display="http://www.land.gov.il/TozaotMichrazim/resultsDetailed.aspx?id=87343&amp;rc=387&amp;tr=424"/>
    <hyperlink ref="Q1530" r:id="rId2420" display="http://www.land.gov.il/TozaotMichrazim/resultsDetailed.aspx?id=87344&amp;rc=388&amp;tr=424"/>
    <hyperlink ref="Q1531" r:id="rId2421" display="http://www.land.gov.il/TozaotMichrazim/resultsDetailed.aspx?id=87345&amp;rc=389&amp;tr=424"/>
    <hyperlink ref="Q1532" r:id="rId2422" display="http://www.land.gov.il/TozaotMichrazim/resultsDetailed.aspx?id=87346&amp;rc=390&amp;tr=424"/>
    <hyperlink ref="Q1698" r:id="rId2423" display="http://www.land.gov.il/TozaotMichrazim/resultsDetailed.aspx?id=87347&amp;rc=391&amp;tr=424"/>
    <hyperlink ref="Q1555" r:id="rId2424" display="http://www.land.gov.il/TozaotMichrazim/resultsDetailed.aspx?id=87268&amp;rc=393&amp;tr=424"/>
    <hyperlink ref="Q3" r:id="rId2425" display="http://www.land.gov.il/TozaotMichrazim/resultsDetailed.aspx?id=87257&amp;rc=394&amp;tr=424"/>
    <hyperlink ref="Q4" r:id="rId2426" display="http://www.land.gov.il/TozaotMichrazim/resultsDetailed.aspx?id=87258&amp;rc=395&amp;tr=424"/>
    <hyperlink ref="Q5" r:id="rId2427" display="http://www.land.gov.il/TozaotMichrazim/resultsDetailed.aspx?id=87259&amp;rc=396&amp;tr=424"/>
    <hyperlink ref="Q1508" r:id="rId2428" display="http://www.land.gov.il/TozaotMichrazim/resultsDetailed.aspx?id=87311&amp;rc=404&amp;tr=424"/>
    <hyperlink ref="Q1509" r:id="rId2429" display="http://www.land.gov.il/TozaotMichrazim/resultsDetailed.aspx?id=87312&amp;rc=405&amp;tr=424"/>
    <hyperlink ref="Q1510" r:id="rId2430" display="http://www.land.gov.il/TozaotMichrazim/resultsDetailed.aspx?id=87313&amp;rc=406&amp;tr=424"/>
    <hyperlink ref="Q1511" r:id="rId2431" display="http://www.land.gov.il/TozaotMichrazim/resultsDetailed.aspx?id=87314&amp;rc=407&amp;tr=424"/>
    <hyperlink ref="Q1512" r:id="rId2432" display="http://www.land.gov.il/TozaotMichrazim/resultsDetailed.aspx?id=87315&amp;rc=408&amp;tr=424"/>
    <hyperlink ref="Q1513" r:id="rId2433" display="http://www.land.gov.il/TozaotMichrazim/resultsDetailed.aspx?id=87316&amp;rc=409&amp;tr=424"/>
    <hyperlink ref="Q1514" r:id="rId2434" display="http://www.land.gov.il/TozaotMichrazim/resultsDetailed.aspx?id=87317&amp;rc=410&amp;tr=424"/>
    <hyperlink ref="Q1515" r:id="rId2435" display="http://www.land.gov.il/TozaotMichrazim/resultsDetailed.aspx?id=87318&amp;rc=411&amp;tr=424"/>
    <hyperlink ref="Q1516" r:id="rId2436" display="http://www.land.gov.il/TozaotMichrazim/resultsDetailed.aspx?id=87319&amp;rc=412&amp;tr=424"/>
    <hyperlink ref="Q1517" r:id="rId2437" display="http://www.land.gov.il/TozaotMichrazim/resultsDetailed.aspx?id=87320&amp;rc=413&amp;tr=424"/>
    <hyperlink ref="Q1518" r:id="rId2438" display="http://www.land.gov.il/TozaotMichrazim/resultsDetailed.aspx?id=87321&amp;rc=414&amp;tr=424"/>
    <hyperlink ref="Q1519" r:id="rId2439" display="http://www.land.gov.il/TozaotMichrazim/resultsDetailed.aspx?id=87322&amp;rc=415&amp;tr=424"/>
    <hyperlink ref="Q1520" r:id="rId2440" display="http://www.land.gov.il/TozaotMichrazim/resultsDetailed.aspx?id=87323&amp;rc=416&amp;tr=424"/>
    <hyperlink ref="Q1584" r:id="rId2441" display="http://www.land.gov.il/TozaotMichrazim/resultsDetailed.aspx?id=87324&amp;rc=417&amp;tr=424"/>
    <hyperlink ref="Q1585" r:id="rId2442" display="http://www.land.gov.il/TozaotMichrazim/resultsDetailed.aspx?id=87325&amp;rc=418&amp;tr=424"/>
    <hyperlink ref="Q1586" r:id="rId2443" display="http://www.land.gov.il/TozaotMichrazim/resultsDetailed.aspx?id=87326&amp;rc=419&amp;tr=424"/>
    <hyperlink ref="Q1587" r:id="rId2444" display="http://www.land.gov.il/TozaotMichrazim/resultsDetailed.aspx?id=87327&amp;rc=420&amp;tr=424"/>
    <hyperlink ref="Q1588" r:id="rId2445" display="http://www.land.gov.il/TozaotMichrazim/resultsDetailed.aspx?id=87328&amp;rc=421&amp;tr=424"/>
    <hyperlink ref="Q1589" r:id="rId2446" display="http://www.land.gov.il/TozaotMichrazim/resultsDetailed.aspx?id=87329&amp;rc=422&amp;tr=424"/>
    <hyperlink ref="Q1528" r:id="rId2447" display="http://www.land.gov.il/TozaotMichrazim/resultsDetailed.aspx?id=87330&amp;rc=423&amp;tr=424"/>
    <hyperlink ref="Q1699" r:id="rId2448" display="http://www.land.gov.il/TozaotMichrazim/resultsDetailed.aspx?id=87331&amp;rc=424&amp;tr=424"/>
    <hyperlink ref="Q2320" r:id="rId2449" display="http://www.land.gov.il/TozaotMichrazim/resultsDetailed.aspx?id=85573&amp;rc=1&amp;tr=87"/>
    <hyperlink ref="Q2321" r:id="rId2450" display="http://www.land.gov.il/TozaotMichrazim/resultsDetailed.aspx?id=85574&amp;rc=2&amp;tr=87"/>
    <hyperlink ref="Q2322" r:id="rId2451" display="http://www.land.gov.il/TozaotMichrazim/resultsDetailed.aspx?id=85575&amp;rc=3&amp;tr=87"/>
    <hyperlink ref="Q2323" r:id="rId2452" display="http://www.land.gov.il/TozaotMichrazim/resultsDetailed.aspx?id=85576&amp;rc=4&amp;tr=87"/>
    <hyperlink ref="Q2324" r:id="rId2453" display="http://www.land.gov.il/TozaotMichrazim/resultsDetailed.aspx?id=85577&amp;rc=5&amp;tr=87"/>
    <hyperlink ref="Q2325" r:id="rId2454" display="http://www.land.gov.il/TozaotMichrazim/resultsDetailed.aspx?id=85578&amp;rc=6&amp;tr=87"/>
    <hyperlink ref="Q2326" r:id="rId2455" display="http://www.land.gov.il/TozaotMichrazim/resultsDetailed.aspx?id=85579&amp;rc=7&amp;tr=87"/>
    <hyperlink ref="Q2327" r:id="rId2456" display="http://www.land.gov.il/TozaotMichrazim/resultsDetailed.aspx?id=85580&amp;rc=8&amp;tr=87"/>
    <hyperlink ref="Q2328" r:id="rId2457" display="http://www.land.gov.il/TozaotMichrazim/resultsDetailed.aspx?id=85581&amp;rc=9&amp;tr=87"/>
    <hyperlink ref="Q2329" r:id="rId2458" display="http://www.land.gov.il/TozaotMichrazim/resultsDetailed.aspx?id=85582&amp;rc=10&amp;tr=87"/>
    <hyperlink ref="Q2330" r:id="rId2459" display="http://www.land.gov.il/TozaotMichrazim/resultsDetailed.aspx?id=85583&amp;rc=11&amp;tr=87"/>
    <hyperlink ref="Q2331" r:id="rId2460" display="http://www.land.gov.il/TozaotMichrazim/resultsDetailed.aspx?id=85584&amp;rc=12&amp;tr=87"/>
    <hyperlink ref="Q2332" r:id="rId2461" display="http://www.land.gov.il/TozaotMichrazim/resultsDetailed.aspx?id=85585&amp;rc=13&amp;tr=87"/>
    <hyperlink ref="Q2333" r:id="rId2462" display="http://www.land.gov.il/TozaotMichrazim/resultsDetailed.aspx?id=85586&amp;rc=14&amp;tr=87"/>
    <hyperlink ref="Q2334" r:id="rId2463" display="http://www.land.gov.il/TozaotMichrazim/resultsDetailed.aspx?id=85587&amp;rc=15&amp;tr=87"/>
    <hyperlink ref="Q2335" r:id="rId2464" display="http://www.land.gov.il/TozaotMichrazim/resultsDetailed.aspx?id=85588&amp;rc=16&amp;tr=87"/>
    <hyperlink ref="Q2336" r:id="rId2465" display="http://www.land.gov.il/TozaotMichrazim/resultsDetailed.aspx?id=85589&amp;rc=17&amp;tr=87"/>
    <hyperlink ref="Q2337" r:id="rId2466" display="http://www.land.gov.il/TozaotMichrazim/resultsDetailed.aspx?id=85590&amp;rc=18&amp;tr=87"/>
    <hyperlink ref="Q2338" r:id="rId2467" display="http://www.land.gov.il/TozaotMichrazim/resultsDetailed.aspx?id=85591&amp;rc=19&amp;tr=87"/>
    <hyperlink ref="Q2339" r:id="rId2468" display="http://www.land.gov.il/TozaotMichrazim/resultsDetailed.aspx?id=85592&amp;rc=20&amp;tr=87"/>
    <hyperlink ref="Q2340" r:id="rId2469" display="http://www.land.gov.il/TozaotMichrazim/resultsDetailed.aspx?id=85593&amp;rc=21&amp;tr=87"/>
    <hyperlink ref="Q2341" r:id="rId2470" display="http://www.land.gov.il/TozaotMichrazim/resultsDetailed.aspx?id=84837&amp;rc=22&amp;tr=87"/>
    <hyperlink ref="Q2342" r:id="rId2471" display="http://www.land.gov.il/TozaotMichrazim/resultsDetailed.aspx?id=84838&amp;rc=23&amp;tr=87"/>
    <hyperlink ref="Q2343" r:id="rId2472" display="http://www.land.gov.il/TozaotMichrazim/resultsDetailed.aspx?id=84839&amp;rc=24&amp;tr=87"/>
    <hyperlink ref="Q2344" r:id="rId2473" display="http://www.land.gov.il/TozaotMichrazim/resultsDetailed.aspx?id=84840&amp;rc=25&amp;tr=87"/>
    <hyperlink ref="Q2345" r:id="rId2474" display="http://www.land.gov.il/TozaotMichrazim/resultsDetailed.aspx?id=84585&amp;rc=26&amp;tr=87"/>
    <hyperlink ref="Q2346" r:id="rId2475" display="http://www.land.gov.il/TozaotMichrazim/resultsDetailed.aspx?id=84586&amp;rc=27&amp;tr=87"/>
    <hyperlink ref="Q2347" r:id="rId2476" display="http://www.land.gov.il/TozaotMichrazim/resultsDetailed.aspx?id=83598&amp;rc=28&amp;tr=87"/>
    <hyperlink ref="Q2348" r:id="rId2477" display="http://www.land.gov.il/TozaotMichrazim/resultsDetailed.aspx?id=81754&amp;rc=29&amp;tr=87"/>
    <hyperlink ref="Q2349" r:id="rId2478" display="http://www.land.gov.il/TozaotMichrazim/resultsDetailed.aspx?id=81161&amp;rc=30&amp;tr=87"/>
    <hyperlink ref="Q2350" r:id="rId2479" display="http://www.land.gov.il/TozaotMichrazim/resultsDetailed.aspx?id=81162&amp;rc=31&amp;tr=87"/>
    <hyperlink ref="Q2351" r:id="rId2480" display="http://www.land.gov.il/TozaotMichrazim/resultsDetailed.aspx?id=81163&amp;rc=32&amp;tr=87"/>
    <hyperlink ref="Q2352" r:id="rId2481" display="http://www.land.gov.il/TozaotMichrazim/resultsDetailed.aspx?id=81164&amp;rc=33&amp;tr=87"/>
    <hyperlink ref="Q2353" r:id="rId2482" display="http://www.land.gov.il/TozaotMichrazim/resultsDetailed.aspx?id=81165&amp;rc=34&amp;tr=87"/>
    <hyperlink ref="Q2354" r:id="rId2483" display="http://www.land.gov.il/TozaotMichrazim/resultsDetailed.aspx?id=81166&amp;rc=35&amp;tr=87"/>
    <hyperlink ref="Q2355" r:id="rId2484" display="http://www.land.gov.il/TozaotMichrazim/resultsDetailed.aspx?id=81167&amp;rc=36&amp;tr=87"/>
    <hyperlink ref="Q2356" r:id="rId2485" display="http://www.land.gov.il/TozaotMichrazim/resultsDetailed.aspx?id=81168&amp;rc=37&amp;tr=87"/>
    <hyperlink ref="Q2357" r:id="rId2486" display="http://www.land.gov.il/TozaotMichrazim/resultsDetailed.aspx?id=81169&amp;rc=38&amp;tr=87"/>
    <hyperlink ref="Q2358" r:id="rId2487" display="http://www.land.gov.il/TozaotMichrazim/resultsDetailed.aspx?id=81170&amp;rc=39&amp;tr=87"/>
    <hyperlink ref="Q2359" r:id="rId2488" display="http://www.land.gov.il/TozaotMichrazim/resultsDetailed.aspx?id=75187&amp;rc=40&amp;tr=87"/>
    <hyperlink ref="Q2360" r:id="rId2489" display="http://www.land.gov.il/TozaotMichrazim/resultsDetailed.aspx?id=74588&amp;rc=41&amp;tr=87"/>
    <hyperlink ref="Q2361" r:id="rId2490" display="http://www.land.gov.il/TozaotMichrazim/resultsDetailed.aspx?id=73461&amp;rc=42&amp;tr=87"/>
    <hyperlink ref="Q2362" r:id="rId2491" display="http://www.land.gov.il/TozaotMichrazim/resultsDetailed.aspx?id=73462&amp;rc=43&amp;tr=87"/>
    <hyperlink ref="Q2363" r:id="rId2492" display="http://www.land.gov.il/TozaotMichrazim/resultsDetailed.aspx?id=73463&amp;rc=44&amp;tr=87"/>
    <hyperlink ref="Q2364" r:id="rId2493" display="http://www.land.gov.il/TozaotMichrazim/resultsDetailed.aspx?id=73464&amp;rc=45&amp;tr=87"/>
    <hyperlink ref="Q2365" r:id="rId2494" display="http://www.land.gov.il/TozaotMichrazim/resultsDetailed.aspx?id=71521&amp;rc=46&amp;tr=87"/>
    <hyperlink ref="Q2366" r:id="rId2495" display="http://www.land.gov.il/TozaotMichrazim/resultsDetailed.aspx?id=71522&amp;rc=47&amp;tr=87"/>
    <hyperlink ref="Q2367" r:id="rId2496" display="http://www.land.gov.il/TozaotMichrazim/resultsDetailed.aspx?id=71523&amp;rc=48&amp;tr=87"/>
    <hyperlink ref="Q2368" r:id="rId2497" display="http://www.land.gov.il/TozaotMichrazim/resultsDetailed.aspx?id=71524&amp;rc=49&amp;tr=87"/>
    <hyperlink ref="Q2369" r:id="rId2498" display="http://www.land.gov.il/TozaotMichrazim/resultsDetailed.aspx?id=71525&amp;rc=50&amp;tr=87"/>
    <hyperlink ref="Q2370" r:id="rId2499" display="http://www.land.gov.il/TozaotMichrazim/resultsDetailed.aspx?id=71526&amp;rc=51&amp;tr=87"/>
    <hyperlink ref="Q2371" r:id="rId2500" display="http://www.land.gov.il/TozaotMichrazim/resultsDetailed.aspx?id=71527&amp;rc=52&amp;tr=87"/>
    <hyperlink ref="Q2372" r:id="rId2501" display="http://www.land.gov.il/TozaotMichrazim/resultsDetailed.aspx?id=71528&amp;rc=53&amp;tr=87"/>
    <hyperlink ref="Q2373" r:id="rId2502" display="http://www.land.gov.il/TozaotMichrazim/resultsDetailed.aspx?id=71529&amp;rc=54&amp;tr=87"/>
    <hyperlink ref="Q2374" r:id="rId2503" display="http://www.land.gov.il/TozaotMichrazim/resultsDetailed.aspx?id=70941&amp;rc=55&amp;tr=87"/>
    <hyperlink ref="Q2375" r:id="rId2504" display="http://www.land.gov.il/TozaotMichrazim/resultsDetailed.aspx?id=70942&amp;rc=56&amp;tr=87"/>
    <hyperlink ref="Q2376" r:id="rId2505" display="http://www.land.gov.il/TozaotMichrazim/resultsDetailed.aspx?id=70340&amp;rc=57&amp;tr=87"/>
    <hyperlink ref="Q2377" r:id="rId2506" display="http://www.land.gov.il/TozaotMichrazim/resultsDetailed.aspx?id=71346&amp;rc=58&amp;tr=87"/>
    <hyperlink ref="Q2378" r:id="rId2507" display="http://www.land.gov.il/TozaotMichrazim/resultsDetailed.aspx?id=71347&amp;rc=59&amp;tr=87"/>
    <hyperlink ref="Q2379" r:id="rId2508" display="http://www.land.gov.il/TozaotMichrazim/resultsDetailed.aspx?id=71348&amp;rc=60&amp;tr=87"/>
    <hyperlink ref="Q2380" r:id="rId2509" display="http://www.land.gov.il/TozaotMichrazim/resultsDetailed.aspx?id=71349&amp;rc=61&amp;tr=87"/>
    <hyperlink ref="Q2381" r:id="rId2510" display="http://www.land.gov.il/TozaotMichrazim/resultsDetailed.aspx?id=71350&amp;rc=62&amp;tr=87"/>
    <hyperlink ref="Q2382" r:id="rId2511" display="http://www.land.gov.il/TozaotMichrazim/resultsDetailed.aspx?id=71351&amp;rc=63&amp;tr=87"/>
    <hyperlink ref="Q2383" r:id="rId2512" display="http://www.land.gov.il/TozaotMichrazim/resultsDetailed.aspx?id=71352&amp;rc=64&amp;tr=87"/>
    <hyperlink ref="Q2384" r:id="rId2513" display="http://www.land.gov.il/TozaotMichrazim/resultsDetailed.aspx?id=71353&amp;rc=65&amp;tr=87"/>
    <hyperlink ref="Q2385" r:id="rId2514" display="http://www.land.gov.il/TozaotMichrazim/resultsDetailed.aspx?id=71354&amp;rc=66&amp;tr=87"/>
    <hyperlink ref="Q2386" r:id="rId2515" display="http://www.land.gov.il/TozaotMichrazim/resultsDetailed.aspx?id=71355&amp;rc=67&amp;tr=87"/>
    <hyperlink ref="Q2387" r:id="rId2516" display="http://www.land.gov.il/TozaotMichrazim/resultsDetailed.aspx?id=71356&amp;rc=68&amp;tr=87"/>
    <hyperlink ref="Q2388" r:id="rId2517" display="http://www.land.gov.il/TozaotMichrazim/resultsDetailed.aspx?id=71357&amp;rc=69&amp;tr=87"/>
    <hyperlink ref="Q2389" r:id="rId2518" display="http://www.land.gov.il/TozaotMichrazim/resultsDetailed.aspx?id=71358&amp;rc=70&amp;tr=87"/>
    <hyperlink ref="Q2390" r:id="rId2519" display="http://www.land.gov.il/TozaotMichrazim/resultsDetailed.aspx?id=71359&amp;rc=71&amp;tr=87"/>
    <hyperlink ref="Q2391" r:id="rId2520" display="http://www.land.gov.il/TozaotMichrazim/resultsDetailed.aspx?id=71360&amp;rc=72&amp;tr=87"/>
    <hyperlink ref="Q2392" r:id="rId2521" display="http://www.land.gov.il/TozaotMichrazim/resultsDetailed.aspx?id=68501&amp;rc=73&amp;tr=87"/>
    <hyperlink ref="Q2393" r:id="rId2522" display="http://www.land.gov.il/TozaotMichrazim/resultsDetailed.aspx?id=68502&amp;rc=74&amp;tr=87"/>
    <hyperlink ref="Q2394" r:id="rId2523" display="http://www.land.gov.il/TozaotMichrazim/resultsDetailed.aspx?id=64677&amp;rc=75&amp;tr=87"/>
    <hyperlink ref="Q2395" r:id="rId2524" display="http://www.land.gov.il/TozaotMichrazim/resultsDetailed.aspx?id=67337&amp;rc=76&amp;tr=87"/>
    <hyperlink ref="Q2396" r:id="rId2525" display="http://www.land.gov.il/TozaotMichrazim/resultsDetailed.aspx?id=66267&amp;rc=77&amp;tr=87"/>
    <hyperlink ref="Q2397" r:id="rId2526" display="http://www.land.gov.il/TozaotMichrazim/resultsDetailed.aspx?id=66268&amp;rc=78&amp;tr=87"/>
    <hyperlink ref="Q2398" r:id="rId2527" display="http://www.land.gov.il/TozaotMichrazim/resultsDetailed.aspx?id=64690&amp;rc=79&amp;tr=87"/>
    <hyperlink ref="Q2399" r:id="rId2528" display="http://www.land.gov.il/TozaotMichrazim/resultsDetailed.aspx?id=66257&amp;rc=80&amp;tr=87"/>
    <hyperlink ref="Q2400" r:id="rId2529" display="http://www.land.gov.il/TozaotMichrazim/resultsDetailed.aspx?id=57288&amp;rc=81&amp;tr=87"/>
    <hyperlink ref="Q2401" r:id="rId2530" display="http://www.land.gov.il/TozaotMichrazim/resultsDetailed.aspx?id=57292&amp;rc=82&amp;tr=87"/>
    <hyperlink ref="Q2402" r:id="rId2531" display="http://www.land.gov.il/TozaotMichrazim/resultsDetailed.aspx?id=57058&amp;rc=83&amp;tr=87"/>
    <hyperlink ref="Q2403" r:id="rId2532" display="http://www.land.gov.il/TozaotMichrazim/resultsDetailed.aspx?id=55670&amp;rc=84&amp;tr=87"/>
    <hyperlink ref="Q2404" r:id="rId2533" display="http://www.land.gov.il/TozaotMichrazim/resultsDetailed.aspx?id=55079&amp;rc=85&amp;tr=87"/>
    <hyperlink ref="Q2405" r:id="rId2534" display="http://www.land.gov.il/TozaotMichrazim/resultsDetailed.aspx?id=55080&amp;rc=86&amp;tr=87"/>
    <hyperlink ref="Q2406" r:id="rId2535" display="http://www.land.gov.il/TozaotMichrazim/resultsDetailed.aspx?id=47238&amp;rc=87&amp;tr=87"/>
  </hyperlinks>
  <pageMargins left="0.7" right="0.7" top="0.75" bottom="0.75" header="0.3" footer="0.3"/>
  <pageSetup orientation="portrait" r:id="rId2536"/>
  <drawing r:id="rId2537"/>
  <legacyDrawing r:id="rId2538"/>
  <controls>
    <mc:AlternateContent xmlns:mc="http://schemas.openxmlformats.org/markup-compatibility/2006">
      <mc:Choice Requires="x14">
        <control shapeId="3073" r:id="rId2539" name="Control 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73" r:id="rId2539" name="Control 1"/>
      </mc:Fallback>
    </mc:AlternateContent>
    <mc:AlternateContent xmlns:mc="http://schemas.openxmlformats.org/markup-compatibility/2006">
      <mc:Choice Requires="x14">
        <control shapeId="3075" r:id="rId2541" name="Control 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75" r:id="rId2541" name="Control 3"/>
      </mc:Fallback>
    </mc:AlternateContent>
    <mc:AlternateContent xmlns:mc="http://schemas.openxmlformats.org/markup-compatibility/2006">
      <mc:Choice Requires="x14">
        <control shapeId="3077" r:id="rId2542" name="Control 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77" r:id="rId2542" name="Control 5"/>
      </mc:Fallback>
    </mc:AlternateContent>
    <mc:AlternateContent xmlns:mc="http://schemas.openxmlformats.org/markup-compatibility/2006">
      <mc:Choice Requires="x14">
        <control shapeId="3079" r:id="rId2543" name="Control 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79" r:id="rId2543" name="Control 7"/>
      </mc:Fallback>
    </mc:AlternateContent>
    <mc:AlternateContent xmlns:mc="http://schemas.openxmlformats.org/markup-compatibility/2006">
      <mc:Choice Requires="x14">
        <control shapeId="3081" r:id="rId2544" name="Control 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81" r:id="rId2544" name="Control 9"/>
      </mc:Fallback>
    </mc:AlternateContent>
    <mc:AlternateContent xmlns:mc="http://schemas.openxmlformats.org/markup-compatibility/2006">
      <mc:Choice Requires="x14">
        <control shapeId="3083" r:id="rId2545" name="Control 1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83" r:id="rId2545" name="Control 11"/>
      </mc:Fallback>
    </mc:AlternateContent>
    <mc:AlternateContent xmlns:mc="http://schemas.openxmlformats.org/markup-compatibility/2006">
      <mc:Choice Requires="x14">
        <control shapeId="3085" r:id="rId2546" name="Control 1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85" r:id="rId2546" name="Control 13"/>
      </mc:Fallback>
    </mc:AlternateContent>
    <mc:AlternateContent xmlns:mc="http://schemas.openxmlformats.org/markup-compatibility/2006">
      <mc:Choice Requires="x14">
        <control shapeId="3087" r:id="rId2547" name="Control 1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87" r:id="rId2547" name="Control 15"/>
      </mc:Fallback>
    </mc:AlternateContent>
    <mc:AlternateContent xmlns:mc="http://schemas.openxmlformats.org/markup-compatibility/2006">
      <mc:Choice Requires="x14">
        <control shapeId="3089" r:id="rId2548" name="Control 1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89" r:id="rId2548" name="Control 17"/>
      </mc:Fallback>
    </mc:AlternateContent>
    <mc:AlternateContent xmlns:mc="http://schemas.openxmlformats.org/markup-compatibility/2006">
      <mc:Choice Requires="x14">
        <control shapeId="3091" r:id="rId2549" name="Control 1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91" r:id="rId2549" name="Control 19"/>
      </mc:Fallback>
    </mc:AlternateContent>
    <mc:AlternateContent xmlns:mc="http://schemas.openxmlformats.org/markup-compatibility/2006">
      <mc:Choice Requires="x14">
        <control shapeId="3093" r:id="rId2550" name="Control 2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93" r:id="rId2550" name="Control 21"/>
      </mc:Fallback>
    </mc:AlternateContent>
    <mc:AlternateContent xmlns:mc="http://schemas.openxmlformats.org/markup-compatibility/2006">
      <mc:Choice Requires="x14">
        <control shapeId="3094" r:id="rId2551" name="Control 2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94" r:id="rId2551" name="Control 22"/>
      </mc:Fallback>
    </mc:AlternateContent>
    <mc:AlternateContent xmlns:mc="http://schemas.openxmlformats.org/markup-compatibility/2006">
      <mc:Choice Requires="x14">
        <control shapeId="3095" r:id="rId2552" name="Control 2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95" r:id="rId2552" name="Control 23"/>
      </mc:Fallback>
    </mc:AlternateContent>
    <mc:AlternateContent xmlns:mc="http://schemas.openxmlformats.org/markup-compatibility/2006">
      <mc:Choice Requires="x14">
        <control shapeId="3097" r:id="rId2553" name="Control 2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97" r:id="rId2553" name="Control 25"/>
      </mc:Fallback>
    </mc:AlternateContent>
    <mc:AlternateContent xmlns:mc="http://schemas.openxmlformats.org/markup-compatibility/2006">
      <mc:Choice Requires="x14">
        <control shapeId="3099" r:id="rId2554" name="Control 2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099" r:id="rId2554" name="Control 27"/>
      </mc:Fallback>
    </mc:AlternateContent>
    <mc:AlternateContent xmlns:mc="http://schemas.openxmlformats.org/markup-compatibility/2006">
      <mc:Choice Requires="x14">
        <control shapeId="3100" r:id="rId2555" name="Control 2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00" r:id="rId2555" name="Control 28"/>
      </mc:Fallback>
    </mc:AlternateContent>
    <mc:AlternateContent xmlns:mc="http://schemas.openxmlformats.org/markup-compatibility/2006">
      <mc:Choice Requires="x14">
        <control shapeId="3102" r:id="rId2556" name="Control 3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02" r:id="rId2556" name="Control 30"/>
      </mc:Fallback>
    </mc:AlternateContent>
    <mc:AlternateContent xmlns:mc="http://schemas.openxmlformats.org/markup-compatibility/2006">
      <mc:Choice Requires="x14">
        <control shapeId="3104" r:id="rId2557" name="Control 3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04" r:id="rId2557" name="Control 32"/>
      </mc:Fallback>
    </mc:AlternateContent>
    <mc:AlternateContent xmlns:mc="http://schemas.openxmlformats.org/markup-compatibility/2006">
      <mc:Choice Requires="x14">
        <control shapeId="3105" r:id="rId2558" name="Control 3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05" r:id="rId2558" name="Control 33"/>
      </mc:Fallback>
    </mc:AlternateContent>
    <mc:AlternateContent xmlns:mc="http://schemas.openxmlformats.org/markup-compatibility/2006">
      <mc:Choice Requires="x14">
        <control shapeId="3106" r:id="rId2559" name="Control 3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06" r:id="rId2559" name="Control 34"/>
      </mc:Fallback>
    </mc:AlternateContent>
    <mc:AlternateContent xmlns:mc="http://schemas.openxmlformats.org/markup-compatibility/2006">
      <mc:Choice Requires="x14">
        <control shapeId="3107" r:id="rId2560" name="Control 3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07" r:id="rId2560" name="Control 35"/>
      </mc:Fallback>
    </mc:AlternateContent>
    <mc:AlternateContent xmlns:mc="http://schemas.openxmlformats.org/markup-compatibility/2006">
      <mc:Choice Requires="x14">
        <control shapeId="3109" r:id="rId2561" name="Control 3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09" r:id="rId2561" name="Control 37"/>
      </mc:Fallback>
    </mc:AlternateContent>
    <mc:AlternateContent xmlns:mc="http://schemas.openxmlformats.org/markup-compatibility/2006">
      <mc:Choice Requires="x14">
        <control shapeId="3111" r:id="rId2562" name="Control 3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11" r:id="rId2562" name="Control 39"/>
      </mc:Fallback>
    </mc:AlternateContent>
    <mc:AlternateContent xmlns:mc="http://schemas.openxmlformats.org/markup-compatibility/2006">
      <mc:Choice Requires="x14">
        <control shapeId="3112" r:id="rId2563" name="Control 4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12" r:id="rId2563" name="Control 40"/>
      </mc:Fallback>
    </mc:AlternateContent>
    <mc:AlternateContent xmlns:mc="http://schemas.openxmlformats.org/markup-compatibility/2006">
      <mc:Choice Requires="x14">
        <control shapeId="3113" r:id="rId2564" name="Control 4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13" r:id="rId2564" name="Control 41"/>
      </mc:Fallback>
    </mc:AlternateContent>
    <mc:AlternateContent xmlns:mc="http://schemas.openxmlformats.org/markup-compatibility/2006">
      <mc:Choice Requires="x14">
        <control shapeId="3115" r:id="rId2565" name="Control 4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15" r:id="rId2565" name="Control 43"/>
      </mc:Fallback>
    </mc:AlternateContent>
    <mc:AlternateContent xmlns:mc="http://schemas.openxmlformats.org/markup-compatibility/2006">
      <mc:Choice Requires="x14">
        <control shapeId="3116" r:id="rId2566" name="Control 4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16" r:id="rId2566" name="Control 44"/>
      </mc:Fallback>
    </mc:AlternateContent>
    <mc:AlternateContent xmlns:mc="http://schemas.openxmlformats.org/markup-compatibility/2006">
      <mc:Choice Requires="x14">
        <control shapeId="3117" r:id="rId2567" name="Control 4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17" r:id="rId2567" name="Control 45"/>
      </mc:Fallback>
    </mc:AlternateContent>
    <mc:AlternateContent xmlns:mc="http://schemas.openxmlformats.org/markup-compatibility/2006">
      <mc:Choice Requires="x14">
        <control shapeId="3119" r:id="rId2568" name="Control 4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19" r:id="rId2568" name="Control 47"/>
      </mc:Fallback>
    </mc:AlternateContent>
    <mc:AlternateContent xmlns:mc="http://schemas.openxmlformats.org/markup-compatibility/2006">
      <mc:Choice Requires="x14">
        <control shapeId="3121" r:id="rId2569" name="Control 4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21" r:id="rId2569" name="Control 49"/>
      </mc:Fallback>
    </mc:AlternateContent>
    <mc:AlternateContent xmlns:mc="http://schemas.openxmlformats.org/markup-compatibility/2006">
      <mc:Choice Requires="x14">
        <control shapeId="3122" r:id="rId2570" name="Control 5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22" r:id="rId2570" name="Control 50"/>
      </mc:Fallback>
    </mc:AlternateContent>
    <mc:AlternateContent xmlns:mc="http://schemas.openxmlformats.org/markup-compatibility/2006">
      <mc:Choice Requires="x14">
        <control shapeId="3123" r:id="rId2571" name="Control 5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23" r:id="rId2571" name="Control 51"/>
      </mc:Fallback>
    </mc:AlternateContent>
    <mc:AlternateContent xmlns:mc="http://schemas.openxmlformats.org/markup-compatibility/2006">
      <mc:Choice Requires="x14">
        <control shapeId="3124" r:id="rId2572" name="Control 5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24" r:id="rId2572" name="Control 52"/>
      </mc:Fallback>
    </mc:AlternateContent>
    <mc:AlternateContent xmlns:mc="http://schemas.openxmlformats.org/markup-compatibility/2006">
      <mc:Choice Requires="x14">
        <control shapeId="3125" r:id="rId2573" name="Control 5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25" r:id="rId2573" name="Control 53"/>
      </mc:Fallback>
    </mc:AlternateContent>
    <mc:AlternateContent xmlns:mc="http://schemas.openxmlformats.org/markup-compatibility/2006">
      <mc:Choice Requires="x14">
        <control shapeId="3126" r:id="rId2574" name="Control 5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26" r:id="rId2574" name="Control 54"/>
      </mc:Fallback>
    </mc:AlternateContent>
    <mc:AlternateContent xmlns:mc="http://schemas.openxmlformats.org/markup-compatibility/2006">
      <mc:Choice Requires="x14">
        <control shapeId="3127" r:id="rId2575" name="Control 5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27" r:id="rId2575" name="Control 55"/>
      </mc:Fallback>
    </mc:AlternateContent>
    <mc:AlternateContent xmlns:mc="http://schemas.openxmlformats.org/markup-compatibility/2006">
      <mc:Choice Requires="x14">
        <control shapeId="3128" r:id="rId2576" name="Control 5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28" r:id="rId2576" name="Control 56"/>
      </mc:Fallback>
    </mc:AlternateContent>
    <mc:AlternateContent xmlns:mc="http://schemas.openxmlformats.org/markup-compatibility/2006">
      <mc:Choice Requires="x14">
        <control shapeId="3130" r:id="rId2577" name="Control 5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30" r:id="rId2577" name="Control 58"/>
      </mc:Fallback>
    </mc:AlternateContent>
    <mc:AlternateContent xmlns:mc="http://schemas.openxmlformats.org/markup-compatibility/2006">
      <mc:Choice Requires="x14">
        <control shapeId="3131" r:id="rId2578" name="Control 5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31" r:id="rId2578" name="Control 59"/>
      </mc:Fallback>
    </mc:AlternateContent>
    <mc:AlternateContent xmlns:mc="http://schemas.openxmlformats.org/markup-compatibility/2006">
      <mc:Choice Requires="x14">
        <control shapeId="3133" r:id="rId2579" name="Control 6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33" r:id="rId2579" name="Control 61"/>
      </mc:Fallback>
    </mc:AlternateContent>
    <mc:AlternateContent xmlns:mc="http://schemas.openxmlformats.org/markup-compatibility/2006">
      <mc:Choice Requires="x14">
        <control shapeId="3134" r:id="rId2580" name="Control 6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34" r:id="rId2580" name="Control 62"/>
      </mc:Fallback>
    </mc:AlternateContent>
    <mc:AlternateContent xmlns:mc="http://schemas.openxmlformats.org/markup-compatibility/2006">
      <mc:Choice Requires="x14">
        <control shapeId="3136" r:id="rId2581" name="Control 6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36" r:id="rId2581" name="Control 64"/>
      </mc:Fallback>
    </mc:AlternateContent>
    <mc:AlternateContent xmlns:mc="http://schemas.openxmlformats.org/markup-compatibility/2006">
      <mc:Choice Requires="x14">
        <control shapeId="3138" r:id="rId2582" name="Control 6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38" r:id="rId2582" name="Control 66"/>
      </mc:Fallback>
    </mc:AlternateContent>
    <mc:AlternateContent xmlns:mc="http://schemas.openxmlformats.org/markup-compatibility/2006">
      <mc:Choice Requires="x14">
        <control shapeId="3139" r:id="rId2583" name="Control 6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39" r:id="rId2583" name="Control 67"/>
      </mc:Fallback>
    </mc:AlternateContent>
    <mc:AlternateContent xmlns:mc="http://schemas.openxmlformats.org/markup-compatibility/2006">
      <mc:Choice Requires="x14">
        <control shapeId="3140" r:id="rId2584" name="Control 6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40" r:id="rId2584" name="Control 68"/>
      </mc:Fallback>
    </mc:AlternateContent>
    <mc:AlternateContent xmlns:mc="http://schemas.openxmlformats.org/markup-compatibility/2006">
      <mc:Choice Requires="x14">
        <control shapeId="3141" r:id="rId2585" name="Control 6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41" r:id="rId2585" name="Control 69"/>
      </mc:Fallback>
    </mc:AlternateContent>
    <mc:AlternateContent xmlns:mc="http://schemas.openxmlformats.org/markup-compatibility/2006">
      <mc:Choice Requires="x14">
        <control shapeId="3143" r:id="rId2586" name="Control 7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43" r:id="rId2586" name="Control 71"/>
      </mc:Fallback>
    </mc:AlternateContent>
    <mc:AlternateContent xmlns:mc="http://schemas.openxmlformats.org/markup-compatibility/2006">
      <mc:Choice Requires="x14">
        <control shapeId="3144" r:id="rId2587" name="Control 7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44" r:id="rId2587" name="Control 72"/>
      </mc:Fallback>
    </mc:AlternateContent>
    <mc:AlternateContent xmlns:mc="http://schemas.openxmlformats.org/markup-compatibility/2006">
      <mc:Choice Requires="x14">
        <control shapeId="3145" r:id="rId2588" name="Control 7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45" r:id="rId2588" name="Control 73"/>
      </mc:Fallback>
    </mc:AlternateContent>
    <mc:AlternateContent xmlns:mc="http://schemas.openxmlformats.org/markup-compatibility/2006">
      <mc:Choice Requires="x14">
        <control shapeId="3146" r:id="rId2589" name="Control 7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46" r:id="rId2589" name="Control 74"/>
      </mc:Fallback>
    </mc:AlternateContent>
    <mc:AlternateContent xmlns:mc="http://schemas.openxmlformats.org/markup-compatibility/2006">
      <mc:Choice Requires="x14">
        <control shapeId="3147" r:id="rId2590" name="Control 7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47" r:id="rId2590" name="Control 75"/>
      </mc:Fallback>
    </mc:AlternateContent>
    <mc:AlternateContent xmlns:mc="http://schemas.openxmlformats.org/markup-compatibility/2006">
      <mc:Choice Requires="x14">
        <control shapeId="3149" r:id="rId2591" name="Control 7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49" r:id="rId2591" name="Control 77"/>
      </mc:Fallback>
    </mc:AlternateContent>
    <mc:AlternateContent xmlns:mc="http://schemas.openxmlformats.org/markup-compatibility/2006">
      <mc:Choice Requires="x14">
        <control shapeId="3150" r:id="rId2592" name="Control 7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0" r:id="rId2592" name="Control 78"/>
      </mc:Fallback>
    </mc:AlternateContent>
    <mc:AlternateContent xmlns:mc="http://schemas.openxmlformats.org/markup-compatibility/2006">
      <mc:Choice Requires="x14">
        <control shapeId="3151" r:id="rId2593" name="Control 7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1" r:id="rId2593" name="Control 79"/>
      </mc:Fallback>
    </mc:AlternateContent>
    <mc:AlternateContent xmlns:mc="http://schemas.openxmlformats.org/markup-compatibility/2006">
      <mc:Choice Requires="x14">
        <control shapeId="3152" r:id="rId2594" name="Control 8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2" r:id="rId2594" name="Control 80"/>
      </mc:Fallback>
    </mc:AlternateContent>
    <mc:AlternateContent xmlns:mc="http://schemas.openxmlformats.org/markup-compatibility/2006">
      <mc:Choice Requires="x14">
        <control shapeId="3153" r:id="rId2595" name="Control 8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3" r:id="rId2595" name="Control 81"/>
      </mc:Fallback>
    </mc:AlternateContent>
    <mc:AlternateContent xmlns:mc="http://schemas.openxmlformats.org/markup-compatibility/2006">
      <mc:Choice Requires="x14">
        <control shapeId="3154" r:id="rId2596" name="Control 8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4" r:id="rId2596" name="Control 82"/>
      </mc:Fallback>
    </mc:AlternateContent>
    <mc:AlternateContent xmlns:mc="http://schemas.openxmlformats.org/markup-compatibility/2006">
      <mc:Choice Requires="x14">
        <control shapeId="3155" r:id="rId2597" name="Control 8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5" r:id="rId2597" name="Control 83"/>
      </mc:Fallback>
    </mc:AlternateContent>
    <mc:AlternateContent xmlns:mc="http://schemas.openxmlformats.org/markup-compatibility/2006">
      <mc:Choice Requires="x14">
        <control shapeId="3156" r:id="rId2598" name="Control 8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6" r:id="rId2598" name="Control 84"/>
      </mc:Fallback>
    </mc:AlternateContent>
    <mc:AlternateContent xmlns:mc="http://schemas.openxmlformats.org/markup-compatibility/2006">
      <mc:Choice Requires="x14">
        <control shapeId="3157" r:id="rId2599" name="Control 8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7" r:id="rId2599" name="Control 85"/>
      </mc:Fallback>
    </mc:AlternateContent>
    <mc:AlternateContent xmlns:mc="http://schemas.openxmlformats.org/markup-compatibility/2006">
      <mc:Choice Requires="x14">
        <control shapeId="3158" r:id="rId2600" name="Control 8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8" r:id="rId2600" name="Control 86"/>
      </mc:Fallback>
    </mc:AlternateContent>
    <mc:AlternateContent xmlns:mc="http://schemas.openxmlformats.org/markup-compatibility/2006">
      <mc:Choice Requires="x14">
        <control shapeId="3159" r:id="rId2601" name="Control 8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59" r:id="rId2601" name="Control 87"/>
      </mc:Fallback>
    </mc:AlternateContent>
    <mc:AlternateContent xmlns:mc="http://schemas.openxmlformats.org/markup-compatibility/2006">
      <mc:Choice Requires="x14">
        <control shapeId="3160" r:id="rId2602" name="Control 8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0" r:id="rId2602" name="Control 88"/>
      </mc:Fallback>
    </mc:AlternateContent>
    <mc:AlternateContent xmlns:mc="http://schemas.openxmlformats.org/markup-compatibility/2006">
      <mc:Choice Requires="x14">
        <control shapeId="3161" r:id="rId2603" name="Control 8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1" r:id="rId2603" name="Control 89"/>
      </mc:Fallback>
    </mc:AlternateContent>
    <mc:AlternateContent xmlns:mc="http://schemas.openxmlformats.org/markup-compatibility/2006">
      <mc:Choice Requires="x14">
        <control shapeId="3162" r:id="rId2604" name="Control 9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2" r:id="rId2604" name="Control 90"/>
      </mc:Fallback>
    </mc:AlternateContent>
    <mc:AlternateContent xmlns:mc="http://schemas.openxmlformats.org/markup-compatibility/2006">
      <mc:Choice Requires="x14">
        <control shapeId="3163" r:id="rId2605" name="Control 9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3" r:id="rId2605" name="Control 91"/>
      </mc:Fallback>
    </mc:AlternateContent>
    <mc:AlternateContent xmlns:mc="http://schemas.openxmlformats.org/markup-compatibility/2006">
      <mc:Choice Requires="x14">
        <control shapeId="3164" r:id="rId2606" name="Control 9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4" r:id="rId2606" name="Control 92"/>
      </mc:Fallback>
    </mc:AlternateContent>
    <mc:AlternateContent xmlns:mc="http://schemas.openxmlformats.org/markup-compatibility/2006">
      <mc:Choice Requires="x14">
        <control shapeId="3165" r:id="rId2607" name="Control 9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5" r:id="rId2607" name="Control 93"/>
      </mc:Fallback>
    </mc:AlternateContent>
    <mc:AlternateContent xmlns:mc="http://schemas.openxmlformats.org/markup-compatibility/2006">
      <mc:Choice Requires="x14">
        <control shapeId="3166" r:id="rId2608" name="Control 9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6" r:id="rId2608" name="Control 94"/>
      </mc:Fallback>
    </mc:AlternateContent>
    <mc:AlternateContent xmlns:mc="http://schemas.openxmlformats.org/markup-compatibility/2006">
      <mc:Choice Requires="x14">
        <control shapeId="3167" r:id="rId2609" name="Control 9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7" r:id="rId2609" name="Control 95"/>
      </mc:Fallback>
    </mc:AlternateContent>
    <mc:AlternateContent xmlns:mc="http://schemas.openxmlformats.org/markup-compatibility/2006">
      <mc:Choice Requires="x14">
        <control shapeId="3168" r:id="rId2610" name="Control 9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8" r:id="rId2610" name="Control 96"/>
      </mc:Fallback>
    </mc:AlternateContent>
    <mc:AlternateContent xmlns:mc="http://schemas.openxmlformats.org/markup-compatibility/2006">
      <mc:Choice Requires="x14">
        <control shapeId="3169" r:id="rId2611" name="Control 9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69" r:id="rId2611" name="Control 97"/>
      </mc:Fallback>
    </mc:AlternateContent>
    <mc:AlternateContent xmlns:mc="http://schemas.openxmlformats.org/markup-compatibility/2006">
      <mc:Choice Requires="x14">
        <control shapeId="3170" r:id="rId2612" name="Control 9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70" r:id="rId2612" name="Control 98"/>
      </mc:Fallback>
    </mc:AlternateContent>
    <mc:AlternateContent xmlns:mc="http://schemas.openxmlformats.org/markup-compatibility/2006">
      <mc:Choice Requires="x14">
        <control shapeId="3171" r:id="rId2613" name="Control 9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71" r:id="rId2613" name="Control 99"/>
      </mc:Fallback>
    </mc:AlternateContent>
    <mc:AlternateContent xmlns:mc="http://schemas.openxmlformats.org/markup-compatibility/2006">
      <mc:Choice Requires="x14">
        <control shapeId="3172" r:id="rId2614" name="Control 10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72" r:id="rId2614" name="Control 100"/>
      </mc:Fallback>
    </mc:AlternateContent>
    <mc:AlternateContent xmlns:mc="http://schemas.openxmlformats.org/markup-compatibility/2006">
      <mc:Choice Requires="x14">
        <control shapeId="3174" r:id="rId2615" name="Control 10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74" r:id="rId2615" name="Control 102"/>
      </mc:Fallback>
    </mc:AlternateContent>
    <mc:AlternateContent xmlns:mc="http://schemas.openxmlformats.org/markup-compatibility/2006">
      <mc:Choice Requires="x14">
        <control shapeId="3175" r:id="rId2616" name="Control 10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75" r:id="rId2616" name="Control 103"/>
      </mc:Fallback>
    </mc:AlternateContent>
    <mc:AlternateContent xmlns:mc="http://schemas.openxmlformats.org/markup-compatibility/2006">
      <mc:Choice Requires="x14">
        <control shapeId="3176" r:id="rId2617" name="Control 10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76" r:id="rId2617" name="Control 104"/>
      </mc:Fallback>
    </mc:AlternateContent>
    <mc:AlternateContent xmlns:mc="http://schemas.openxmlformats.org/markup-compatibility/2006">
      <mc:Choice Requires="x14">
        <control shapeId="3177" r:id="rId2618" name="Control 10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77" r:id="rId2618" name="Control 105"/>
      </mc:Fallback>
    </mc:AlternateContent>
    <mc:AlternateContent xmlns:mc="http://schemas.openxmlformats.org/markup-compatibility/2006">
      <mc:Choice Requires="x14">
        <control shapeId="3178" r:id="rId2619" name="Control 10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78" r:id="rId2619" name="Control 106"/>
      </mc:Fallback>
    </mc:AlternateContent>
    <mc:AlternateContent xmlns:mc="http://schemas.openxmlformats.org/markup-compatibility/2006">
      <mc:Choice Requires="x14">
        <control shapeId="3180" r:id="rId2620" name="Control 10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0" r:id="rId2620" name="Control 108"/>
      </mc:Fallback>
    </mc:AlternateContent>
    <mc:AlternateContent xmlns:mc="http://schemas.openxmlformats.org/markup-compatibility/2006">
      <mc:Choice Requires="x14">
        <control shapeId="3181" r:id="rId2621" name="Control 10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1" r:id="rId2621" name="Control 109"/>
      </mc:Fallback>
    </mc:AlternateContent>
    <mc:AlternateContent xmlns:mc="http://schemas.openxmlformats.org/markup-compatibility/2006">
      <mc:Choice Requires="x14">
        <control shapeId="3182" r:id="rId2622" name="Control 11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2" r:id="rId2622" name="Control 110"/>
      </mc:Fallback>
    </mc:AlternateContent>
    <mc:AlternateContent xmlns:mc="http://schemas.openxmlformats.org/markup-compatibility/2006">
      <mc:Choice Requires="x14">
        <control shapeId="3183" r:id="rId2623" name="Control 11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3" r:id="rId2623" name="Control 111"/>
      </mc:Fallback>
    </mc:AlternateContent>
    <mc:AlternateContent xmlns:mc="http://schemas.openxmlformats.org/markup-compatibility/2006">
      <mc:Choice Requires="x14">
        <control shapeId="3184" r:id="rId2624" name="Control 11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4" r:id="rId2624" name="Control 112"/>
      </mc:Fallback>
    </mc:AlternateContent>
    <mc:AlternateContent xmlns:mc="http://schemas.openxmlformats.org/markup-compatibility/2006">
      <mc:Choice Requires="x14">
        <control shapeId="3185" r:id="rId2625" name="Control 11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5" r:id="rId2625" name="Control 113"/>
      </mc:Fallback>
    </mc:AlternateContent>
    <mc:AlternateContent xmlns:mc="http://schemas.openxmlformats.org/markup-compatibility/2006">
      <mc:Choice Requires="x14">
        <control shapeId="3186" r:id="rId2626" name="Control 11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6" r:id="rId2626" name="Control 114"/>
      </mc:Fallback>
    </mc:AlternateContent>
    <mc:AlternateContent xmlns:mc="http://schemas.openxmlformats.org/markup-compatibility/2006">
      <mc:Choice Requires="x14">
        <control shapeId="3187" r:id="rId2627" name="Control 11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7" r:id="rId2627" name="Control 115"/>
      </mc:Fallback>
    </mc:AlternateContent>
    <mc:AlternateContent xmlns:mc="http://schemas.openxmlformats.org/markup-compatibility/2006">
      <mc:Choice Requires="x14">
        <control shapeId="3188" r:id="rId2628" name="Control 11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8" r:id="rId2628" name="Control 116"/>
      </mc:Fallback>
    </mc:AlternateContent>
    <mc:AlternateContent xmlns:mc="http://schemas.openxmlformats.org/markup-compatibility/2006">
      <mc:Choice Requires="x14">
        <control shapeId="3189" r:id="rId2629" name="Control 11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89" r:id="rId2629" name="Control 117"/>
      </mc:Fallback>
    </mc:AlternateContent>
    <mc:AlternateContent xmlns:mc="http://schemas.openxmlformats.org/markup-compatibility/2006">
      <mc:Choice Requires="x14">
        <control shapeId="3190" r:id="rId2630" name="Control 11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90" r:id="rId2630" name="Control 118"/>
      </mc:Fallback>
    </mc:AlternateContent>
    <mc:AlternateContent xmlns:mc="http://schemas.openxmlformats.org/markup-compatibility/2006">
      <mc:Choice Requires="x14">
        <control shapeId="3191" r:id="rId2631" name="Control 11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91" r:id="rId2631" name="Control 119"/>
      </mc:Fallback>
    </mc:AlternateContent>
    <mc:AlternateContent xmlns:mc="http://schemas.openxmlformats.org/markup-compatibility/2006">
      <mc:Choice Requires="x14">
        <control shapeId="3192" r:id="rId2632" name="Control 12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92" r:id="rId2632" name="Control 120"/>
      </mc:Fallback>
    </mc:AlternateContent>
    <mc:AlternateContent xmlns:mc="http://schemas.openxmlformats.org/markup-compatibility/2006">
      <mc:Choice Requires="x14">
        <control shapeId="3193" r:id="rId2633" name="Control 12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93" r:id="rId2633" name="Control 121"/>
      </mc:Fallback>
    </mc:AlternateContent>
    <mc:AlternateContent xmlns:mc="http://schemas.openxmlformats.org/markup-compatibility/2006">
      <mc:Choice Requires="x14">
        <control shapeId="3194" r:id="rId2634" name="Control 12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94" r:id="rId2634" name="Control 122"/>
      </mc:Fallback>
    </mc:AlternateContent>
    <mc:AlternateContent xmlns:mc="http://schemas.openxmlformats.org/markup-compatibility/2006">
      <mc:Choice Requires="x14">
        <control shapeId="3196" r:id="rId2635" name="Control 12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96" r:id="rId2635" name="Control 124"/>
      </mc:Fallback>
    </mc:AlternateContent>
    <mc:AlternateContent xmlns:mc="http://schemas.openxmlformats.org/markup-compatibility/2006">
      <mc:Choice Requires="x14">
        <control shapeId="3197" r:id="rId2636" name="Control 12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97" r:id="rId2636" name="Control 125"/>
      </mc:Fallback>
    </mc:AlternateContent>
    <mc:AlternateContent xmlns:mc="http://schemas.openxmlformats.org/markup-compatibility/2006">
      <mc:Choice Requires="x14">
        <control shapeId="3198" r:id="rId2637" name="Control 12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98" r:id="rId2637" name="Control 126"/>
      </mc:Fallback>
    </mc:AlternateContent>
    <mc:AlternateContent xmlns:mc="http://schemas.openxmlformats.org/markup-compatibility/2006">
      <mc:Choice Requires="x14">
        <control shapeId="3199" r:id="rId2638" name="Control 12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199" r:id="rId2638" name="Control 127"/>
      </mc:Fallback>
    </mc:AlternateContent>
    <mc:AlternateContent xmlns:mc="http://schemas.openxmlformats.org/markup-compatibility/2006">
      <mc:Choice Requires="x14">
        <control shapeId="3200" r:id="rId2639" name="Control 12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00" r:id="rId2639" name="Control 128"/>
      </mc:Fallback>
    </mc:AlternateContent>
    <mc:AlternateContent xmlns:mc="http://schemas.openxmlformats.org/markup-compatibility/2006">
      <mc:Choice Requires="x14">
        <control shapeId="3202" r:id="rId2640" name="Control 13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02" r:id="rId2640" name="Control 130"/>
      </mc:Fallback>
    </mc:AlternateContent>
    <mc:AlternateContent xmlns:mc="http://schemas.openxmlformats.org/markup-compatibility/2006">
      <mc:Choice Requires="x14">
        <control shapeId="3203" r:id="rId2641" name="Control 13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03" r:id="rId2641" name="Control 131"/>
      </mc:Fallback>
    </mc:AlternateContent>
    <mc:AlternateContent xmlns:mc="http://schemas.openxmlformats.org/markup-compatibility/2006">
      <mc:Choice Requires="x14">
        <control shapeId="3204" r:id="rId2642" name="Control 13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04" r:id="rId2642" name="Control 132"/>
      </mc:Fallback>
    </mc:AlternateContent>
    <mc:AlternateContent xmlns:mc="http://schemas.openxmlformats.org/markup-compatibility/2006">
      <mc:Choice Requires="x14">
        <control shapeId="3205" r:id="rId2643" name="Control 13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05" r:id="rId2643" name="Control 133"/>
      </mc:Fallback>
    </mc:AlternateContent>
    <mc:AlternateContent xmlns:mc="http://schemas.openxmlformats.org/markup-compatibility/2006">
      <mc:Choice Requires="x14">
        <control shapeId="3206" r:id="rId2644" name="Control 13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06" r:id="rId2644" name="Control 134"/>
      </mc:Fallback>
    </mc:AlternateContent>
    <mc:AlternateContent xmlns:mc="http://schemas.openxmlformats.org/markup-compatibility/2006">
      <mc:Choice Requires="x14">
        <control shapeId="3207" r:id="rId2645" name="Control 13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07" r:id="rId2645" name="Control 135"/>
      </mc:Fallback>
    </mc:AlternateContent>
    <mc:AlternateContent xmlns:mc="http://schemas.openxmlformats.org/markup-compatibility/2006">
      <mc:Choice Requires="x14">
        <control shapeId="3209" r:id="rId2646" name="Control 13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09" r:id="rId2646" name="Control 137"/>
      </mc:Fallback>
    </mc:AlternateContent>
    <mc:AlternateContent xmlns:mc="http://schemas.openxmlformats.org/markup-compatibility/2006">
      <mc:Choice Requires="x14">
        <control shapeId="3210" r:id="rId2647" name="Control 13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10" r:id="rId2647" name="Control 138"/>
      </mc:Fallback>
    </mc:AlternateContent>
    <mc:AlternateContent xmlns:mc="http://schemas.openxmlformats.org/markup-compatibility/2006">
      <mc:Choice Requires="x14">
        <control shapeId="3211" r:id="rId2648" name="Control 13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11" r:id="rId2648" name="Control 139"/>
      </mc:Fallback>
    </mc:AlternateContent>
    <mc:AlternateContent xmlns:mc="http://schemas.openxmlformats.org/markup-compatibility/2006">
      <mc:Choice Requires="x14">
        <control shapeId="3212" r:id="rId2649" name="Control 14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12" r:id="rId2649" name="Control 140"/>
      </mc:Fallback>
    </mc:AlternateContent>
    <mc:AlternateContent xmlns:mc="http://schemas.openxmlformats.org/markup-compatibility/2006">
      <mc:Choice Requires="x14">
        <control shapeId="3213" r:id="rId2650" name="Control 14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13" r:id="rId2650" name="Control 141"/>
      </mc:Fallback>
    </mc:AlternateContent>
    <mc:AlternateContent xmlns:mc="http://schemas.openxmlformats.org/markup-compatibility/2006">
      <mc:Choice Requires="x14">
        <control shapeId="3214" r:id="rId2651" name="Control 14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14" r:id="rId2651" name="Control 142"/>
      </mc:Fallback>
    </mc:AlternateContent>
    <mc:AlternateContent xmlns:mc="http://schemas.openxmlformats.org/markup-compatibility/2006">
      <mc:Choice Requires="x14">
        <control shapeId="3216" r:id="rId2652" name="Control 14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16" r:id="rId2652" name="Control 144"/>
      </mc:Fallback>
    </mc:AlternateContent>
    <mc:AlternateContent xmlns:mc="http://schemas.openxmlformats.org/markup-compatibility/2006">
      <mc:Choice Requires="x14">
        <control shapeId="3218" r:id="rId2653" name="Control 14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18" r:id="rId2653" name="Control 146"/>
      </mc:Fallback>
    </mc:AlternateContent>
    <mc:AlternateContent xmlns:mc="http://schemas.openxmlformats.org/markup-compatibility/2006">
      <mc:Choice Requires="x14">
        <control shapeId="3219" r:id="rId2654" name="Control 14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19" r:id="rId2654" name="Control 147"/>
      </mc:Fallback>
    </mc:AlternateContent>
    <mc:AlternateContent xmlns:mc="http://schemas.openxmlformats.org/markup-compatibility/2006">
      <mc:Choice Requires="x14">
        <control shapeId="3220" r:id="rId2655" name="Control 14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20" r:id="rId2655" name="Control 148"/>
      </mc:Fallback>
    </mc:AlternateContent>
    <mc:AlternateContent xmlns:mc="http://schemas.openxmlformats.org/markup-compatibility/2006">
      <mc:Choice Requires="x14">
        <control shapeId="3221" r:id="rId2656" name="Control 14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21" r:id="rId2656" name="Control 149"/>
      </mc:Fallback>
    </mc:AlternateContent>
    <mc:AlternateContent xmlns:mc="http://schemas.openxmlformats.org/markup-compatibility/2006">
      <mc:Choice Requires="x14">
        <control shapeId="3222" r:id="rId2657" name="Control 15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22" r:id="rId2657" name="Control 150"/>
      </mc:Fallback>
    </mc:AlternateContent>
    <mc:AlternateContent xmlns:mc="http://schemas.openxmlformats.org/markup-compatibility/2006">
      <mc:Choice Requires="x14">
        <control shapeId="3223" r:id="rId2658" name="Control 15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23" r:id="rId2658" name="Control 151"/>
      </mc:Fallback>
    </mc:AlternateContent>
    <mc:AlternateContent xmlns:mc="http://schemas.openxmlformats.org/markup-compatibility/2006">
      <mc:Choice Requires="x14">
        <control shapeId="3224" r:id="rId2659" name="Control 15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24" r:id="rId2659" name="Control 152"/>
      </mc:Fallback>
    </mc:AlternateContent>
    <mc:AlternateContent xmlns:mc="http://schemas.openxmlformats.org/markup-compatibility/2006">
      <mc:Choice Requires="x14">
        <control shapeId="3225" r:id="rId2660" name="Control 15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25" r:id="rId2660" name="Control 153"/>
      </mc:Fallback>
    </mc:AlternateContent>
    <mc:AlternateContent xmlns:mc="http://schemas.openxmlformats.org/markup-compatibility/2006">
      <mc:Choice Requires="x14">
        <control shapeId="3226" r:id="rId2661" name="Control 15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26" r:id="rId2661" name="Control 154"/>
      </mc:Fallback>
    </mc:AlternateContent>
    <mc:AlternateContent xmlns:mc="http://schemas.openxmlformats.org/markup-compatibility/2006">
      <mc:Choice Requires="x14">
        <control shapeId="3227" r:id="rId2662" name="Control 15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27" r:id="rId2662" name="Control 155"/>
      </mc:Fallback>
    </mc:AlternateContent>
    <mc:AlternateContent xmlns:mc="http://schemas.openxmlformats.org/markup-compatibility/2006">
      <mc:Choice Requires="x14">
        <control shapeId="3228" r:id="rId2663" name="Control 15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28" r:id="rId2663" name="Control 156"/>
      </mc:Fallback>
    </mc:AlternateContent>
    <mc:AlternateContent xmlns:mc="http://schemas.openxmlformats.org/markup-compatibility/2006">
      <mc:Choice Requires="x14">
        <control shapeId="3230" r:id="rId2664" name="Control 15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0" r:id="rId2664" name="Control 158"/>
      </mc:Fallback>
    </mc:AlternateContent>
    <mc:AlternateContent xmlns:mc="http://schemas.openxmlformats.org/markup-compatibility/2006">
      <mc:Choice Requires="x14">
        <control shapeId="3231" r:id="rId2665" name="Control 15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1" r:id="rId2665" name="Control 159"/>
      </mc:Fallback>
    </mc:AlternateContent>
    <mc:AlternateContent xmlns:mc="http://schemas.openxmlformats.org/markup-compatibility/2006">
      <mc:Choice Requires="x14">
        <control shapeId="3232" r:id="rId2666" name="Control 16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2" r:id="rId2666" name="Control 160"/>
      </mc:Fallback>
    </mc:AlternateContent>
    <mc:AlternateContent xmlns:mc="http://schemas.openxmlformats.org/markup-compatibility/2006">
      <mc:Choice Requires="x14">
        <control shapeId="3233" r:id="rId2667" name="Control 16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3" r:id="rId2667" name="Control 161"/>
      </mc:Fallback>
    </mc:AlternateContent>
    <mc:AlternateContent xmlns:mc="http://schemas.openxmlformats.org/markup-compatibility/2006">
      <mc:Choice Requires="x14">
        <control shapeId="3234" r:id="rId2668" name="Control 16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4" r:id="rId2668" name="Control 162"/>
      </mc:Fallback>
    </mc:AlternateContent>
    <mc:AlternateContent xmlns:mc="http://schemas.openxmlformats.org/markup-compatibility/2006">
      <mc:Choice Requires="x14">
        <control shapeId="3235" r:id="rId2669" name="Control 16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5" r:id="rId2669" name="Control 163"/>
      </mc:Fallback>
    </mc:AlternateContent>
    <mc:AlternateContent xmlns:mc="http://schemas.openxmlformats.org/markup-compatibility/2006">
      <mc:Choice Requires="x14">
        <control shapeId="3236" r:id="rId2670" name="Control 16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6" r:id="rId2670" name="Control 164"/>
      </mc:Fallback>
    </mc:AlternateContent>
    <mc:AlternateContent xmlns:mc="http://schemas.openxmlformats.org/markup-compatibility/2006">
      <mc:Choice Requires="x14">
        <control shapeId="3237" r:id="rId2671" name="Control 16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7" r:id="rId2671" name="Control 165"/>
      </mc:Fallback>
    </mc:AlternateContent>
    <mc:AlternateContent xmlns:mc="http://schemas.openxmlformats.org/markup-compatibility/2006">
      <mc:Choice Requires="x14">
        <control shapeId="3238" r:id="rId2672" name="Control 16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8" r:id="rId2672" name="Control 166"/>
      </mc:Fallback>
    </mc:AlternateContent>
    <mc:AlternateContent xmlns:mc="http://schemas.openxmlformats.org/markup-compatibility/2006">
      <mc:Choice Requires="x14">
        <control shapeId="3239" r:id="rId2673" name="Control 16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39" r:id="rId2673" name="Control 167"/>
      </mc:Fallback>
    </mc:AlternateContent>
    <mc:AlternateContent xmlns:mc="http://schemas.openxmlformats.org/markup-compatibility/2006">
      <mc:Choice Requires="x14">
        <control shapeId="3240" r:id="rId2674" name="Control 16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40" r:id="rId2674" name="Control 168"/>
      </mc:Fallback>
    </mc:AlternateContent>
    <mc:AlternateContent xmlns:mc="http://schemas.openxmlformats.org/markup-compatibility/2006">
      <mc:Choice Requires="x14">
        <control shapeId="3241" r:id="rId2675" name="Control 16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41" r:id="rId2675" name="Control 169"/>
      </mc:Fallback>
    </mc:AlternateContent>
    <mc:AlternateContent xmlns:mc="http://schemas.openxmlformats.org/markup-compatibility/2006">
      <mc:Choice Requires="x14">
        <control shapeId="3242" r:id="rId2676" name="Control 17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42" r:id="rId2676" name="Control 170"/>
      </mc:Fallback>
    </mc:AlternateContent>
    <mc:AlternateContent xmlns:mc="http://schemas.openxmlformats.org/markup-compatibility/2006">
      <mc:Choice Requires="x14">
        <control shapeId="3243" r:id="rId2677" name="Control 17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43" r:id="rId2677" name="Control 171"/>
      </mc:Fallback>
    </mc:AlternateContent>
    <mc:AlternateContent xmlns:mc="http://schemas.openxmlformats.org/markup-compatibility/2006">
      <mc:Choice Requires="x14">
        <control shapeId="3244" r:id="rId2678" name="Control 17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44" r:id="rId2678" name="Control 172"/>
      </mc:Fallback>
    </mc:AlternateContent>
    <mc:AlternateContent xmlns:mc="http://schemas.openxmlformats.org/markup-compatibility/2006">
      <mc:Choice Requires="x14">
        <control shapeId="3246" r:id="rId2679" name="Control 17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46" r:id="rId2679" name="Control 174"/>
      </mc:Fallback>
    </mc:AlternateContent>
    <mc:AlternateContent xmlns:mc="http://schemas.openxmlformats.org/markup-compatibility/2006">
      <mc:Choice Requires="x14">
        <control shapeId="3248" r:id="rId2680" name="Control 17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48" r:id="rId2680" name="Control 176"/>
      </mc:Fallback>
    </mc:AlternateContent>
    <mc:AlternateContent xmlns:mc="http://schemas.openxmlformats.org/markup-compatibility/2006">
      <mc:Choice Requires="x14">
        <control shapeId="3249" r:id="rId2681" name="Control 17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49" r:id="rId2681" name="Control 177"/>
      </mc:Fallback>
    </mc:AlternateContent>
    <mc:AlternateContent xmlns:mc="http://schemas.openxmlformats.org/markup-compatibility/2006">
      <mc:Choice Requires="x14">
        <control shapeId="3250" r:id="rId2682" name="Control 17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50" r:id="rId2682" name="Control 178"/>
      </mc:Fallback>
    </mc:AlternateContent>
    <mc:AlternateContent xmlns:mc="http://schemas.openxmlformats.org/markup-compatibility/2006">
      <mc:Choice Requires="x14">
        <control shapeId="3252" r:id="rId2683" name="Control 18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52" r:id="rId2683" name="Control 180"/>
      </mc:Fallback>
    </mc:AlternateContent>
    <mc:AlternateContent xmlns:mc="http://schemas.openxmlformats.org/markup-compatibility/2006">
      <mc:Choice Requires="x14">
        <control shapeId="3253" r:id="rId2684" name="Control 18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53" r:id="rId2684" name="Control 181"/>
      </mc:Fallback>
    </mc:AlternateContent>
    <mc:AlternateContent xmlns:mc="http://schemas.openxmlformats.org/markup-compatibility/2006">
      <mc:Choice Requires="x14">
        <control shapeId="3254" r:id="rId2685" name="Control 18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54" r:id="rId2685" name="Control 182"/>
      </mc:Fallback>
    </mc:AlternateContent>
    <mc:AlternateContent xmlns:mc="http://schemas.openxmlformats.org/markup-compatibility/2006">
      <mc:Choice Requires="x14">
        <control shapeId="3255" r:id="rId2686" name="Control 18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55" r:id="rId2686" name="Control 183"/>
      </mc:Fallback>
    </mc:AlternateContent>
    <mc:AlternateContent xmlns:mc="http://schemas.openxmlformats.org/markup-compatibility/2006">
      <mc:Choice Requires="x14">
        <control shapeId="3256" r:id="rId2687" name="Control 18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56" r:id="rId2687" name="Control 184"/>
      </mc:Fallback>
    </mc:AlternateContent>
    <mc:AlternateContent xmlns:mc="http://schemas.openxmlformats.org/markup-compatibility/2006">
      <mc:Choice Requires="x14">
        <control shapeId="3257" r:id="rId2688" name="Control 18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57" r:id="rId2688" name="Control 185"/>
      </mc:Fallback>
    </mc:AlternateContent>
    <mc:AlternateContent xmlns:mc="http://schemas.openxmlformats.org/markup-compatibility/2006">
      <mc:Choice Requires="x14">
        <control shapeId="3259" r:id="rId2689" name="Control 18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59" r:id="rId2689" name="Control 187"/>
      </mc:Fallback>
    </mc:AlternateContent>
    <mc:AlternateContent xmlns:mc="http://schemas.openxmlformats.org/markup-compatibility/2006">
      <mc:Choice Requires="x14">
        <control shapeId="3260" r:id="rId2690" name="Control 18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60" r:id="rId2690" name="Control 188"/>
      </mc:Fallback>
    </mc:AlternateContent>
    <mc:AlternateContent xmlns:mc="http://schemas.openxmlformats.org/markup-compatibility/2006">
      <mc:Choice Requires="x14">
        <control shapeId="3261" r:id="rId2691" name="Control 18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61" r:id="rId2691" name="Control 189"/>
      </mc:Fallback>
    </mc:AlternateContent>
    <mc:AlternateContent xmlns:mc="http://schemas.openxmlformats.org/markup-compatibility/2006">
      <mc:Choice Requires="x14">
        <control shapeId="3262" r:id="rId2692" name="Control 19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62" r:id="rId2692" name="Control 190"/>
      </mc:Fallback>
    </mc:AlternateContent>
    <mc:AlternateContent xmlns:mc="http://schemas.openxmlformats.org/markup-compatibility/2006">
      <mc:Choice Requires="x14">
        <control shapeId="3264" r:id="rId2693" name="Control 19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64" r:id="rId2693" name="Control 192"/>
      </mc:Fallback>
    </mc:AlternateContent>
    <mc:AlternateContent xmlns:mc="http://schemas.openxmlformats.org/markup-compatibility/2006">
      <mc:Choice Requires="x14">
        <control shapeId="3265" r:id="rId2694" name="Control 19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65" r:id="rId2694" name="Control 193"/>
      </mc:Fallback>
    </mc:AlternateContent>
    <mc:AlternateContent xmlns:mc="http://schemas.openxmlformats.org/markup-compatibility/2006">
      <mc:Choice Requires="x14">
        <control shapeId="3266" r:id="rId2695" name="Control 19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66" r:id="rId2695" name="Control 194"/>
      </mc:Fallback>
    </mc:AlternateContent>
    <mc:AlternateContent xmlns:mc="http://schemas.openxmlformats.org/markup-compatibility/2006">
      <mc:Choice Requires="x14">
        <control shapeId="3267" r:id="rId2696" name="Control 19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67" r:id="rId2696" name="Control 195"/>
      </mc:Fallback>
    </mc:AlternateContent>
    <mc:AlternateContent xmlns:mc="http://schemas.openxmlformats.org/markup-compatibility/2006">
      <mc:Choice Requires="x14">
        <control shapeId="3268" r:id="rId2697" name="Control 19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68" r:id="rId2697" name="Control 196"/>
      </mc:Fallback>
    </mc:AlternateContent>
    <mc:AlternateContent xmlns:mc="http://schemas.openxmlformats.org/markup-compatibility/2006">
      <mc:Choice Requires="x14">
        <control shapeId="3269" r:id="rId2698" name="Control 19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69" r:id="rId2698" name="Control 197"/>
      </mc:Fallback>
    </mc:AlternateContent>
    <mc:AlternateContent xmlns:mc="http://schemas.openxmlformats.org/markup-compatibility/2006">
      <mc:Choice Requires="x14">
        <control shapeId="3270" r:id="rId2699" name="Control 19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70" r:id="rId2699" name="Control 198"/>
      </mc:Fallback>
    </mc:AlternateContent>
    <mc:AlternateContent xmlns:mc="http://schemas.openxmlformats.org/markup-compatibility/2006">
      <mc:Choice Requires="x14">
        <control shapeId="3271" r:id="rId2700" name="Control 19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71" r:id="rId2700" name="Control 199"/>
      </mc:Fallback>
    </mc:AlternateContent>
    <mc:AlternateContent xmlns:mc="http://schemas.openxmlformats.org/markup-compatibility/2006">
      <mc:Choice Requires="x14">
        <control shapeId="3272" r:id="rId2701" name="Control 20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72" r:id="rId2701" name="Control 200"/>
      </mc:Fallback>
    </mc:AlternateContent>
    <mc:AlternateContent xmlns:mc="http://schemas.openxmlformats.org/markup-compatibility/2006">
      <mc:Choice Requires="x14">
        <control shapeId="3273" r:id="rId2702" name="Control 20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73" r:id="rId2702" name="Control 201"/>
      </mc:Fallback>
    </mc:AlternateContent>
    <mc:AlternateContent xmlns:mc="http://schemas.openxmlformats.org/markup-compatibility/2006">
      <mc:Choice Requires="x14">
        <control shapeId="3274" r:id="rId2703" name="Control 20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74" r:id="rId2703" name="Control 202"/>
      </mc:Fallback>
    </mc:AlternateContent>
    <mc:AlternateContent xmlns:mc="http://schemas.openxmlformats.org/markup-compatibility/2006">
      <mc:Choice Requires="x14">
        <control shapeId="3275" r:id="rId2704" name="Control 20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75" r:id="rId2704" name="Control 203"/>
      </mc:Fallback>
    </mc:AlternateContent>
    <mc:AlternateContent xmlns:mc="http://schemas.openxmlformats.org/markup-compatibility/2006">
      <mc:Choice Requires="x14">
        <control shapeId="3276" r:id="rId2705" name="Control 20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76" r:id="rId2705" name="Control 204"/>
      </mc:Fallback>
    </mc:AlternateContent>
    <mc:AlternateContent xmlns:mc="http://schemas.openxmlformats.org/markup-compatibility/2006">
      <mc:Choice Requires="x14">
        <control shapeId="3278" r:id="rId2706" name="Control 20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78" r:id="rId2706" name="Control 206"/>
      </mc:Fallback>
    </mc:AlternateContent>
    <mc:AlternateContent xmlns:mc="http://schemas.openxmlformats.org/markup-compatibility/2006">
      <mc:Choice Requires="x14">
        <control shapeId="3279" r:id="rId2707" name="Control 20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79" r:id="rId2707" name="Control 207"/>
      </mc:Fallback>
    </mc:AlternateContent>
    <mc:AlternateContent xmlns:mc="http://schemas.openxmlformats.org/markup-compatibility/2006">
      <mc:Choice Requires="x14">
        <control shapeId="3280" r:id="rId2708" name="Control 20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0" r:id="rId2708" name="Control 208"/>
      </mc:Fallback>
    </mc:AlternateContent>
    <mc:AlternateContent xmlns:mc="http://schemas.openxmlformats.org/markup-compatibility/2006">
      <mc:Choice Requires="x14">
        <control shapeId="3281" r:id="rId2709" name="Control 20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1" r:id="rId2709" name="Control 209"/>
      </mc:Fallback>
    </mc:AlternateContent>
    <mc:AlternateContent xmlns:mc="http://schemas.openxmlformats.org/markup-compatibility/2006">
      <mc:Choice Requires="x14">
        <control shapeId="3282" r:id="rId2710" name="Control 21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2" r:id="rId2710" name="Control 210"/>
      </mc:Fallback>
    </mc:AlternateContent>
    <mc:AlternateContent xmlns:mc="http://schemas.openxmlformats.org/markup-compatibility/2006">
      <mc:Choice Requires="x14">
        <control shapeId="3283" r:id="rId2711" name="Control 21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3" r:id="rId2711" name="Control 211"/>
      </mc:Fallback>
    </mc:AlternateContent>
    <mc:AlternateContent xmlns:mc="http://schemas.openxmlformats.org/markup-compatibility/2006">
      <mc:Choice Requires="x14">
        <control shapeId="3284" r:id="rId2712" name="Control 21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4" r:id="rId2712" name="Control 212"/>
      </mc:Fallback>
    </mc:AlternateContent>
    <mc:AlternateContent xmlns:mc="http://schemas.openxmlformats.org/markup-compatibility/2006">
      <mc:Choice Requires="x14">
        <control shapeId="3285" r:id="rId2713" name="Control 21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5" r:id="rId2713" name="Control 213"/>
      </mc:Fallback>
    </mc:AlternateContent>
    <mc:AlternateContent xmlns:mc="http://schemas.openxmlformats.org/markup-compatibility/2006">
      <mc:Choice Requires="x14">
        <control shapeId="3286" r:id="rId2714" name="Control 21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6" r:id="rId2714" name="Control 214"/>
      </mc:Fallback>
    </mc:AlternateContent>
    <mc:AlternateContent xmlns:mc="http://schemas.openxmlformats.org/markup-compatibility/2006">
      <mc:Choice Requires="x14">
        <control shapeId="3287" r:id="rId2715" name="Control 21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7" r:id="rId2715" name="Control 215"/>
      </mc:Fallback>
    </mc:AlternateContent>
    <mc:AlternateContent xmlns:mc="http://schemas.openxmlformats.org/markup-compatibility/2006">
      <mc:Choice Requires="x14">
        <control shapeId="3288" r:id="rId2716" name="Control 21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8" r:id="rId2716" name="Control 216"/>
      </mc:Fallback>
    </mc:AlternateContent>
    <mc:AlternateContent xmlns:mc="http://schemas.openxmlformats.org/markup-compatibility/2006">
      <mc:Choice Requires="x14">
        <control shapeId="3289" r:id="rId2717" name="Control 21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89" r:id="rId2717" name="Control 217"/>
      </mc:Fallback>
    </mc:AlternateContent>
    <mc:AlternateContent xmlns:mc="http://schemas.openxmlformats.org/markup-compatibility/2006">
      <mc:Choice Requires="x14">
        <control shapeId="3291" r:id="rId2718" name="Control 21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91" r:id="rId2718" name="Control 219"/>
      </mc:Fallback>
    </mc:AlternateContent>
    <mc:AlternateContent xmlns:mc="http://schemas.openxmlformats.org/markup-compatibility/2006">
      <mc:Choice Requires="x14">
        <control shapeId="3292" r:id="rId2719" name="Control 22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92" r:id="rId2719" name="Control 220"/>
      </mc:Fallback>
    </mc:AlternateContent>
    <mc:AlternateContent xmlns:mc="http://schemas.openxmlformats.org/markup-compatibility/2006">
      <mc:Choice Requires="x14">
        <control shapeId="3293" r:id="rId2720" name="Control 22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93" r:id="rId2720" name="Control 221"/>
      </mc:Fallback>
    </mc:AlternateContent>
    <mc:AlternateContent xmlns:mc="http://schemas.openxmlformats.org/markup-compatibility/2006">
      <mc:Choice Requires="x14">
        <control shapeId="3294" r:id="rId2721" name="Control 22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94" r:id="rId2721" name="Control 222"/>
      </mc:Fallback>
    </mc:AlternateContent>
    <mc:AlternateContent xmlns:mc="http://schemas.openxmlformats.org/markup-compatibility/2006">
      <mc:Choice Requires="x14">
        <control shapeId="3295" r:id="rId2722" name="Control 22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95" r:id="rId2722" name="Control 223"/>
      </mc:Fallback>
    </mc:AlternateContent>
    <mc:AlternateContent xmlns:mc="http://schemas.openxmlformats.org/markup-compatibility/2006">
      <mc:Choice Requires="x14">
        <control shapeId="3297" r:id="rId2723" name="Control 22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97" r:id="rId2723" name="Control 225"/>
      </mc:Fallback>
    </mc:AlternateContent>
    <mc:AlternateContent xmlns:mc="http://schemas.openxmlformats.org/markup-compatibility/2006">
      <mc:Choice Requires="x14">
        <control shapeId="3299" r:id="rId2724" name="Control 22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299" r:id="rId2724" name="Control 227"/>
      </mc:Fallback>
    </mc:AlternateContent>
    <mc:AlternateContent xmlns:mc="http://schemas.openxmlformats.org/markup-compatibility/2006">
      <mc:Choice Requires="x14">
        <control shapeId="3300" r:id="rId2725" name="Control 22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00" r:id="rId2725" name="Control 228"/>
      </mc:Fallback>
    </mc:AlternateContent>
    <mc:AlternateContent xmlns:mc="http://schemas.openxmlformats.org/markup-compatibility/2006">
      <mc:Choice Requires="x14">
        <control shapeId="3302" r:id="rId2726" name="Control 23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02" r:id="rId2726" name="Control 230"/>
      </mc:Fallback>
    </mc:AlternateContent>
    <mc:AlternateContent xmlns:mc="http://schemas.openxmlformats.org/markup-compatibility/2006">
      <mc:Choice Requires="x14">
        <control shapeId="3303" r:id="rId2727" name="Control 23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03" r:id="rId2727" name="Control 231"/>
      </mc:Fallback>
    </mc:AlternateContent>
    <mc:AlternateContent xmlns:mc="http://schemas.openxmlformats.org/markup-compatibility/2006">
      <mc:Choice Requires="x14">
        <control shapeId="3304" r:id="rId2728" name="Control 23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04" r:id="rId2728" name="Control 232"/>
      </mc:Fallback>
    </mc:AlternateContent>
    <mc:AlternateContent xmlns:mc="http://schemas.openxmlformats.org/markup-compatibility/2006">
      <mc:Choice Requires="x14">
        <control shapeId="3305" r:id="rId2729" name="Control 23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05" r:id="rId2729" name="Control 233"/>
      </mc:Fallback>
    </mc:AlternateContent>
    <mc:AlternateContent xmlns:mc="http://schemas.openxmlformats.org/markup-compatibility/2006">
      <mc:Choice Requires="x14">
        <control shapeId="3307" r:id="rId2730" name="Control 23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07" r:id="rId2730" name="Control 235"/>
      </mc:Fallback>
    </mc:AlternateContent>
    <mc:AlternateContent xmlns:mc="http://schemas.openxmlformats.org/markup-compatibility/2006">
      <mc:Choice Requires="x14">
        <control shapeId="3308" r:id="rId2731" name="Control 23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08" r:id="rId2731" name="Control 236"/>
      </mc:Fallback>
    </mc:AlternateContent>
    <mc:AlternateContent xmlns:mc="http://schemas.openxmlformats.org/markup-compatibility/2006">
      <mc:Choice Requires="x14">
        <control shapeId="3309" r:id="rId2732" name="Control 23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09" r:id="rId2732" name="Control 237"/>
      </mc:Fallback>
    </mc:AlternateContent>
    <mc:AlternateContent xmlns:mc="http://schemas.openxmlformats.org/markup-compatibility/2006">
      <mc:Choice Requires="x14">
        <control shapeId="3310" r:id="rId2733" name="Control 23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10" r:id="rId2733" name="Control 238"/>
      </mc:Fallback>
    </mc:AlternateContent>
    <mc:AlternateContent xmlns:mc="http://schemas.openxmlformats.org/markup-compatibility/2006">
      <mc:Choice Requires="x14">
        <control shapeId="3311" r:id="rId2734" name="Control 23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11" r:id="rId2734" name="Control 239"/>
      </mc:Fallback>
    </mc:AlternateContent>
    <mc:AlternateContent xmlns:mc="http://schemas.openxmlformats.org/markup-compatibility/2006">
      <mc:Choice Requires="x14">
        <control shapeId="3312" r:id="rId2735" name="Control 24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12" r:id="rId2735" name="Control 240"/>
      </mc:Fallback>
    </mc:AlternateContent>
    <mc:AlternateContent xmlns:mc="http://schemas.openxmlformats.org/markup-compatibility/2006">
      <mc:Choice Requires="x14">
        <control shapeId="3313" r:id="rId2736" name="Control 24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13" r:id="rId2736" name="Control 241"/>
      </mc:Fallback>
    </mc:AlternateContent>
    <mc:AlternateContent xmlns:mc="http://schemas.openxmlformats.org/markup-compatibility/2006">
      <mc:Choice Requires="x14">
        <control shapeId="3315" r:id="rId2737" name="Control 24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15" r:id="rId2737" name="Control 243"/>
      </mc:Fallback>
    </mc:AlternateContent>
    <mc:AlternateContent xmlns:mc="http://schemas.openxmlformats.org/markup-compatibility/2006">
      <mc:Choice Requires="x14">
        <control shapeId="3317" r:id="rId2738" name="Control 24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17" r:id="rId2738" name="Control 245"/>
      </mc:Fallback>
    </mc:AlternateContent>
    <mc:AlternateContent xmlns:mc="http://schemas.openxmlformats.org/markup-compatibility/2006">
      <mc:Choice Requires="x14">
        <control shapeId="3319" r:id="rId2739" name="Control 24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19" r:id="rId2739" name="Control 247"/>
      </mc:Fallback>
    </mc:AlternateContent>
    <mc:AlternateContent xmlns:mc="http://schemas.openxmlformats.org/markup-compatibility/2006">
      <mc:Choice Requires="x14">
        <control shapeId="3321" r:id="rId2740" name="Control 24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21" r:id="rId2740" name="Control 249"/>
      </mc:Fallback>
    </mc:AlternateContent>
    <mc:AlternateContent xmlns:mc="http://schemas.openxmlformats.org/markup-compatibility/2006">
      <mc:Choice Requires="x14">
        <control shapeId="3323" r:id="rId2741" name="Control 25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23" r:id="rId2741" name="Control 251"/>
      </mc:Fallback>
    </mc:AlternateContent>
    <mc:AlternateContent xmlns:mc="http://schemas.openxmlformats.org/markup-compatibility/2006">
      <mc:Choice Requires="x14">
        <control shapeId="3325" r:id="rId2742" name="Control 25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25" r:id="rId2742" name="Control 253"/>
      </mc:Fallback>
    </mc:AlternateContent>
    <mc:AlternateContent xmlns:mc="http://schemas.openxmlformats.org/markup-compatibility/2006">
      <mc:Choice Requires="x14">
        <control shapeId="3327" r:id="rId2743" name="Control 25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27" r:id="rId2743" name="Control 255"/>
      </mc:Fallback>
    </mc:AlternateContent>
    <mc:AlternateContent xmlns:mc="http://schemas.openxmlformats.org/markup-compatibility/2006">
      <mc:Choice Requires="x14">
        <control shapeId="3329" r:id="rId2744" name="Control 25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29" r:id="rId2744" name="Control 257"/>
      </mc:Fallback>
    </mc:AlternateContent>
    <mc:AlternateContent xmlns:mc="http://schemas.openxmlformats.org/markup-compatibility/2006">
      <mc:Choice Requires="x14">
        <control shapeId="3331" r:id="rId2745" name="Control 25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31" r:id="rId2745" name="Control 259"/>
      </mc:Fallback>
    </mc:AlternateContent>
    <mc:AlternateContent xmlns:mc="http://schemas.openxmlformats.org/markup-compatibility/2006">
      <mc:Choice Requires="x14">
        <control shapeId="3332" r:id="rId2746" name="Control 26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32" r:id="rId2746" name="Control 260"/>
      </mc:Fallback>
    </mc:AlternateContent>
    <mc:AlternateContent xmlns:mc="http://schemas.openxmlformats.org/markup-compatibility/2006">
      <mc:Choice Requires="x14">
        <control shapeId="3333" r:id="rId2747" name="Control 26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33" r:id="rId2747" name="Control 261"/>
      </mc:Fallback>
    </mc:AlternateContent>
    <mc:AlternateContent xmlns:mc="http://schemas.openxmlformats.org/markup-compatibility/2006">
      <mc:Choice Requires="x14">
        <control shapeId="3334" r:id="rId2748" name="Control 26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34" r:id="rId2748" name="Control 262"/>
      </mc:Fallback>
    </mc:AlternateContent>
    <mc:AlternateContent xmlns:mc="http://schemas.openxmlformats.org/markup-compatibility/2006">
      <mc:Choice Requires="x14">
        <control shapeId="3335" r:id="rId2749" name="Control 26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35" r:id="rId2749" name="Control 263"/>
      </mc:Fallback>
    </mc:AlternateContent>
    <mc:AlternateContent xmlns:mc="http://schemas.openxmlformats.org/markup-compatibility/2006">
      <mc:Choice Requires="x14">
        <control shapeId="3337" r:id="rId2750" name="Control 26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37" r:id="rId2750" name="Control 265"/>
      </mc:Fallback>
    </mc:AlternateContent>
    <mc:AlternateContent xmlns:mc="http://schemas.openxmlformats.org/markup-compatibility/2006">
      <mc:Choice Requires="x14">
        <control shapeId="3338" r:id="rId2751" name="Control 26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38" r:id="rId2751" name="Control 266"/>
      </mc:Fallback>
    </mc:AlternateContent>
    <mc:AlternateContent xmlns:mc="http://schemas.openxmlformats.org/markup-compatibility/2006">
      <mc:Choice Requires="x14">
        <control shapeId="3340" r:id="rId2752" name="Control 26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40" r:id="rId2752" name="Control 268"/>
      </mc:Fallback>
    </mc:AlternateContent>
    <mc:AlternateContent xmlns:mc="http://schemas.openxmlformats.org/markup-compatibility/2006">
      <mc:Choice Requires="x14">
        <control shapeId="3342" r:id="rId2753" name="Control 27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42" r:id="rId2753" name="Control 270"/>
      </mc:Fallback>
    </mc:AlternateContent>
    <mc:AlternateContent xmlns:mc="http://schemas.openxmlformats.org/markup-compatibility/2006">
      <mc:Choice Requires="x14">
        <control shapeId="3343" r:id="rId2754" name="Control 27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43" r:id="rId2754" name="Control 271"/>
      </mc:Fallback>
    </mc:AlternateContent>
    <mc:AlternateContent xmlns:mc="http://schemas.openxmlformats.org/markup-compatibility/2006">
      <mc:Choice Requires="x14">
        <control shapeId="3344" r:id="rId2755" name="Control 27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44" r:id="rId2755" name="Control 272"/>
      </mc:Fallback>
    </mc:AlternateContent>
    <mc:AlternateContent xmlns:mc="http://schemas.openxmlformats.org/markup-compatibility/2006">
      <mc:Choice Requires="x14">
        <control shapeId="3345" r:id="rId2756" name="Control 27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45" r:id="rId2756" name="Control 273"/>
      </mc:Fallback>
    </mc:AlternateContent>
    <mc:AlternateContent xmlns:mc="http://schemas.openxmlformats.org/markup-compatibility/2006">
      <mc:Choice Requires="x14">
        <control shapeId="3346" r:id="rId2757" name="Control 27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46" r:id="rId2757" name="Control 274"/>
      </mc:Fallback>
    </mc:AlternateContent>
    <mc:AlternateContent xmlns:mc="http://schemas.openxmlformats.org/markup-compatibility/2006">
      <mc:Choice Requires="x14">
        <control shapeId="3347" r:id="rId2758" name="Control 27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47" r:id="rId2758" name="Control 275"/>
      </mc:Fallback>
    </mc:AlternateContent>
    <mc:AlternateContent xmlns:mc="http://schemas.openxmlformats.org/markup-compatibility/2006">
      <mc:Choice Requires="x14">
        <control shapeId="3349" r:id="rId2759" name="Control 27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49" r:id="rId2759" name="Control 277"/>
      </mc:Fallback>
    </mc:AlternateContent>
    <mc:AlternateContent xmlns:mc="http://schemas.openxmlformats.org/markup-compatibility/2006">
      <mc:Choice Requires="x14">
        <control shapeId="3350" r:id="rId2760" name="Control 27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50" r:id="rId2760" name="Control 278"/>
      </mc:Fallback>
    </mc:AlternateContent>
    <mc:AlternateContent xmlns:mc="http://schemas.openxmlformats.org/markup-compatibility/2006">
      <mc:Choice Requires="x14">
        <control shapeId="3352" r:id="rId2761" name="Control 28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52" r:id="rId2761" name="Control 280"/>
      </mc:Fallback>
    </mc:AlternateContent>
    <mc:AlternateContent xmlns:mc="http://schemas.openxmlformats.org/markup-compatibility/2006">
      <mc:Choice Requires="x14">
        <control shapeId="3353" r:id="rId2762" name="Control 28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53" r:id="rId2762" name="Control 281"/>
      </mc:Fallback>
    </mc:AlternateContent>
    <mc:AlternateContent xmlns:mc="http://schemas.openxmlformats.org/markup-compatibility/2006">
      <mc:Choice Requires="x14">
        <control shapeId="3354" r:id="rId2763" name="Control 28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54" r:id="rId2763" name="Control 282"/>
      </mc:Fallback>
    </mc:AlternateContent>
    <mc:AlternateContent xmlns:mc="http://schemas.openxmlformats.org/markup-compatibility/2006">
      <mc:Choice Requires="x14">
        <control shapeId="3356" r:id="rId2764" name="Control 28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56" r:id="rId2764" name="Control 284"/>
      </mc:Fallback>
    </mc:AlternateContent>
    <mc:AlternateContent xmlns:mc="http://schemas.openxmlformats.org/markup-compatibility/2006">
      <mc:Choice Requires="x14">
        <control shapeId="3357" r:id="rId2765" name="Control 28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57" r:id="rId2765" name="Control 285"/>
      </mc:Fallback>
    </mc:AlternateContent>
    <mc:AlternateContent xmlns:mc="http://schemas.openxmlformats.org/markup-compatibility/2006">
      <mc:Choice Requires="x14">
        <control shapeId="3358" r:id="rId2766" name="Control 28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58" r:id="rId2766" name="Control 286"/>
      </mc:Fallback>
    </mc:AlternateContent>
    <mc:AlternateContent xmlns:mc="http://schemas.openxmlformats.org/markup-compatibility/2006">
      <mc:Choice Requires="x14">
        <control shapeId="3360" r:id="rId2767" name="Control 28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60" r:id="rId2767" name="Control 288"/>
      </mc:Fallback>
    </mc:AlternateContent>
    <mc:AlternateContent xmlns:mc="http://schemas.openxmlformats.org/markup-compatibility/2006">
      <mc:Choice Requires="x14">
        <control shapeId="3361" r:id="rId2768" name="Control 28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61" r:id="rId2768" name="Control 289"/>
      </mc:Fallback>
    </mc:AlternateContent>
    <mc:AlternateContent xmlns:mc="http://schemas.openxmlformats.org/markup-compatibility/2006">
      <mc:Choice Requires="x14">
        <control shapeId="3362" r:id="rId2769" name="Control 29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62" r:id="rId2769" name="Control 290"/>
      </mc:Fallback>
    </mc:AlternateContent>
    <mc:AlternateContent xmlns:mc="http://schemas.openxmlformats.org/markup-compatibility/2006">
      <mc:Choice Requires="x14">
        <control shapeId="3364" r:id="rId2770" name="Control 29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64" r:id="rId2770" name="Control 292"/>
      </mc:Fallback>
    </mc:AlternateContent>
    <mc:AlternateContent xmlns:mc="http://schemas.openxmlformats.org/markup-compatibility/2006">
      <mc:Choice Requires="x14">
        <control shapeId="3365" r:id="rId2771" name="Control 29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65" r:id="rId2771" name="Control 293"/>
      </mc:Fallback>
    </mc:AlternateContent>
    <mc:AlternateContent xmlns:mc="http://schemas.openxmlformats.org/markup-compatibility/2006">
      <mc:Choice Requires="x14">
        <control shapeId="3366" r:id="rId2772" name="Control 29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66" r:id="rId2772" name="Control 294"/>
      </mc:Fallback>
    </mc:AlternateContent>
    <mc:AlternateContent xmlns:mc="http://schemas.openxmlformats.org/markup-compatibility/2006">
      <mc:Choice Requires="x14">
        <control shapeId="3367" r:id="rId2773" name="Control 29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67" r:id="rId2773" name="Control 295"/>
      </mc:Fallback>
    </mc:AlternateContent>
    <mc:AlternateContent xmlns:mc="http://schemas.openxmlformats.org/markup-compatibility/2006">
      <mc:Choice Requires="x14">
        <control shapeId="3368" r:id="rId2774" name="Control 29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68" r:id="rId2774" name="Control 296"/>
      </mc:Fallback>
    </mc:AlternateContent>
    <mc:AlternateContent xmlns:mc="http://schemas.openxmlformats.org/markup-compatibility/2006">
      <mc:Choice Requires="x14">
        <control shapeId="3370" r:id="rId2775" name="Control 29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0" r:id="rId2775" name="Control 298"/>
      </mc:Fallback>
    </mc:AlternateContent>
    <mc:AlternateContent xmlns:mc="http://schemas.openxmlformats.org/markup-compatibility/2006">
      <mc:Choice Requires="x14">
        <control shapeId="3371" r:id="rId2776" name="Control 29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1" r:id="rId2776" name="Control 299"/>
      </mc:Fallback>
    </mc:AlternateContent>
    <mc:AlternateContent xmlns:mc="http://schemas.openxmlformats.org/markup-compatibility/2006">
      <mc:Choice Requires="x14">
        <control shapeId="3372" r:id="rId2777" name="Control 30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2" r:id="rId2777" name="Control 300"/>
      </mc:Fallback>
    </mc:AlternateContent>
    <mc:AlternateContent xmlns:mc="http://schemas.openxmlformats.org/markup-compatibility/2006">
      <mc:Choice Requires="x14">
        <control shapeId="3373" r:id="rId2778" name="Control 30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3" r:id="rId2778" name="Control 301"/>
      </mc:Fallback>
    </mc:AlternateContent>
    <mc:AlternateContent xmlns:mc="http://schemas.openxmlformats.org/markup-compatibility/2006">
      <mc:Choice Requires="x14">
        <control shapeId="3374" r:id="rId2779" name="Control 30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4" r:id="rId2779" name="Control 302"/>
      </mc:Fallback>
    </mc:AlternateContent>
    <mc:AlternateContent xmlns:mc="http://schemas.openxmlformats.org/markup-compatibility/2006">
      <mc:Choice Requires="x14">
        <control shapeId="3375" r:id="rId2780" name="Control 30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5" r:id="rId2780" name="Control 303"/>
      </mc:Fallback>
    </mc:AlternateContent>
    <mc:AlternateContent xmlns:mc="http://schemas.openxmlformats.org/markup-compatibility/2006">
      <mc:Choice Requires="x14">
        <control shapeId="3376" r:id="rId2781" name="Control 30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6" r:id="rId2781" name="Control 304"/>
      </mc:Fallback>
    </mc:AlternateContent>
    <mc:AlternateContent xmlns:mc="http://schemas.openxmlformats.org/markup-compatibility/2006">
      <mc:Choice Requires="x14">
        <control shapeId="3377" r:id="rId2782" name="Control 30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7" r:id="rId2782" name="Control 305"/>
      </mc:Fallback>
    </mc:AlternateContent>
    <mc:AlternateContent xmlns:mc="http://schemas.openxmlformats.org/markup-compatibility/2006">
      <mc:Choice Requires="x14">
        <control shapeId="3378" r:id="rId2783" name="Control 30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8" r:id="rId2783" name="Control 306"/>
      </mc:Fallback>
    </mc:AlternateContent>
    <mc:AlternateContent xmlns:mc="http://schemas.openxmlformats.org/markup-compatibility/2006">
      <mc:Choice Requires="x14">
        <control shapeId="3379" r:id="rId2784" name="Control 30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79" r:id="rId2784" name="Control 307"/>
      </mc:Fallback>
    </mc:AlternateContent>
    <mc:AlternateContent xmlns:mc="http://schemas.openxmlformats.org/markup-compatibility/2006">
      <mc:Choice Requires="x14">
        <control shapeId="3380" r:id="rId2785" name="Control 30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80" r:id="rId2785" name="Control 308"/>
      </mc:Fallback>
    </mc:AlternateContent>
    <mc:AlternateContent xmlns:mc="http://schemas.openxmlformats.org/markup-compatibility/2006">
      <mc:Choice Requires="x14">
        <control shapeId="3382" r:id="rId2786" name="Control 31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82" r:id="rId2786" name="Control 310"/>
      </mc:Fallback>
    </mc:AlternateContent>
    <mc:AlternateContent xmlns:mc="http://schemas.openxmlformats.org/markup-compatibility/2006">
      <mc:Choice Requires="x14">
        <control shapeId="3383" r:id="rId2787" name="Control 31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83" r:id="rId2787" name="Control 311"/>
      </mc:Fallback>
    </mc:AlternateContent>
    <mc:AlternateContent xmlns:mc="http://schemas.openxmlformats.org/markup-compatibility/2006">
      <mc:Choice Requires="x14">
        <control shapeId="3384" r:id="rId2788" name="Control 31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84" r:id="rId2788" name="Control 312"/>
      </mc:Fallback>
    </mc:AlternateContent>
    <mc:AlternateContent xmlns:mc="http://schemas.openxmlformats.org/markup-compatibility/2006">
      <mc:Choice Requires="x14">
        <control shapeId="3385" r:id="rId2789" name="Control 31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85" r:id="rId2789" name="Control 313"/>
      </mc:Fallback>
    </mc:AlternateContent>
    <mc:AlternateContent xmlns:mc="http://schemas.openxmlformats.org/markup-compatibility/2006">
      <mc:Choice Requires="x14">
        <control shapeId="3386" r:id="rId2790" name="Control 31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86" r:id="rId2790" name="Control 314"/>
      </mc:Fallback>
    </mc:AlternateContent>
    <mc:AlternateContent xmlns:mc="http://schemas.openxmlformats.org/markup-compatibility/2006">
      <mc:Choice Requires="x14">
        <control shapeId="3387" r:id="rId2791" name="Control 31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87" r:id="rId2791" name="Control 315"/>
      </mc:Fallback>
    </mc:AlternateContent>
    <mc:AlternateContent xmlns:mc="http://schemas.openxmlformats.org/markup-compatibility/2006">
      <mc:Choice Requires="x14">
        <control shapeId="3389" r:id="rId2792" name="Control 31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89" r:id="rId2792" name="Control 317"/>
      </mc:Fallback>
    </mc:AlternateContent>
    <mc:AlternateContent xmlns:mc="http://schemas.openxmlformats.org/markup-compatibility/2006">
      <mc:Choice Requires="x14">
        <control shapeId="3390" r:id="rId2793" name="Control 31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90" r:id="rId2793" name="Control 318"/>
      </mc:Fallback>
    </mc:AlternateContent>
    <mc:AlternateContent xmlns:mc="http://schemas.openxmlformats.org/markup-compatibility/2006">
      <mc:Choice Requires="x14">
        <control shapeId="3391" r:id="rId2794" name="Control 31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91" r:id="rId2794" name="Control 319"/>
      </mc:Fallback>
    </mc:AlternateContent>
    <mc:AlternateContent xmlns:mc="http://schemas.openxmlformats.org/markup-compatibility/2006">
      <mc:Choice Requires="x14">
        <control shapeId="3392" r:id="rId2795" name="Control 320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92" r:id="rId2795" name="Control 320"/>
      </mc:Fallback>
    </mc:AlternateContent>
    <mc:AlternateContent xmlns:mc="http://schemas.openxmlformats.org/markup-compatibility/2006">
      <mc:Choice Requires="x14">
        <control shapeId="3393" r:id="rId2796" name="Control 32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93" r:id="rId2796" name="Control 321"/>
      </mc:Fallback>
    </mc:AlternateContent>
    <mc:AlternateContent xmlns:mc="http://schemas.openxmlformats.org/markup-compatibility/2006">
      <mc:Choice Requires="x14">
        <control shapeId="3394" r:id="rId2797" name="Control 32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94" r:id="rId2797" name="Control 322"/>
      </mc:Fallback>
    </mc:AlternateContent>
    <mc:AlternateContent xmlns:mc="http://schemas.openxmlformats.org/markup-compatibility/2006">
      <mc:Choice Requires="x14">
        <control shapeId="3395" r:id="rId2798" name="Control 32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95" r:id="rId2798" name="Control 323"/>
      </mc:Fallback>
    </mc:AlternateContent>
    <mc:AlternateContent xmlns:mc="http://schemas.openxmlformats.org/markup-compatibility/2006">
      <mc:Choice Requires="x14">
        <control shapeId="3397" r:id="rId2799" name="Control 32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97" r:id="rId2799" name="Control 325"/>
      </mc:Fallback>
    </mc:AlternateContent>
    <mc:AlternateContent xmlns:mc="http://schemas.openxmlformats.org/markup-compatibility/2006">
      <mc:Choice Requires="x14">
        <control shapeId="3399" r:id="rId2800" name="Control 327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399" r:id="rId2800" name="Control 327"/>
      </mc:Fallback>
    </mc:AlternateContent>
    <mc:AlternateContent xmlns:mc="http://schemas.openxmlformats.org/markup-compatibility/2006">
      <mc:Choice Requires="x14">
        <control shapeId="3401" r:id="rId2801" name="Control 32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401" r:id="rId2801" name="Control 329"/>
      </mc:Fallback>
    </mc:AlternateContent>
    <mc:AlternateContent xmlns:mc="http://schemas.openxmlformats.org/markup-compatibility/2006">
      <mc:Choice Requires="x14">
        <control shapeId="3403" r:id="rId2802" name="Control 331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403" r:id="rId2802" name="Control 331"/>
      </mc:Fallback>
    </mc:AlternateContent>
    <mc:AlternateContent xmlns:mc="http://schemas.openxmlformats.org/markup-compatibility/2006">
      <mc:Choice Requires="x14">
        <control shapeId="3404" r:id="rId2803" name="Control 332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404" r:id="rId2803" name="Control 332"/>
      </mc:Fallback>
    </mc:AlternateContent>
    <mc:AlternateContent xmlns:mc="http://schemas.openxmlformats.org/markup-compatibility/2006">
      <mc:Choice Requires="x14">
        <control shapeId="3405" r:id="rId2804" name="Control 333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405" r:id="rId2804" name="Control 333"/>
      </mc:Fallback>
    </mc:AlternateContent>
    <mc:AlternateContent xmlns:mc="http://schemas.openxmlformats.org/markup-compatibility/2006">
      <mc:Choice Requires="x14">
        <control shapeId="3406" r:id="rId2805" name="Control 334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406" r:id="rId2805" name="Control 334"/>
      </mc:Fallback>
    </mc:AlternateContent>
    <mc:AlternateContent xmlns:mc="http://schemas.openxmlformats.org/markup-compatibility/2006">
      <mc:Choice Requires="x14">
        <control shapeId="3407" r:id="rId2806" name="Control 335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407" r:id="rId2806" name="Control 335"/>
      </mc:Fallback>
    </mc:AlternateContent>
    <mc:AlternateContent xmlns:mc="http://schemas.openxmlformats.org/markup-compatibility/2006">
      <mc:Choice Requires="x14">
        <control shapeId="3408" r:id="rId2807" name="Control 336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408" r:id="rId2807" name="Control 336"/>
      </mc:Fallback>
    </mc:AlternateContent>
    <mc:AlternateContent xmlns:mc="http://schemas.openxmlformats.org/markup-compatibility/2006">
      <mc:Choice Requires="x14">
        <control shapeId="3410" r:id="rId2808" name="Control 338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410" r:id="rId2808" name="Control 338"/>
      </mc:Fallback>
    </mc:AlternateContent>
    <mc:AlternateContent xmlns:mc="http://schemas.openxmlformats.org/markup-compatibility/2006">
      <mc:Choice Requires="x14">
        <control shapeId="3411" r:id="rId2809" name="Control 339">
          <controlPr defaultSize="0" autoPict="0" r:id="rId2540">
            <anchor moveWithCells="1">
              <from>
                <xdr:col>1</xdr:col>
                <xdr:colOff>514350</xdr:colOff>
                <xdr:row>2418</xdr:row>
                <xdr:rowOff>0</xdr:rowOff>
              </from>
              <to>
                <xdr:col>1</xdr:col>
                <xdr:colOff>723900</xdr:colOff>
                <xdr:row>2419</xdr:row>
                <xdr:rowOff>19050</xdr:rowOff>
              </to>
            </anchor>
          </controlPr>
        </control>
      </mc:Choice>
      <mc:Fallback>
        <control shapeId="3411" r:id="rId2809" name="Control 339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תוכניות בניין עיר</vt:lpstr>
      <vt:lpstr>ריכוז נתונים מההסכמים</vt:lpstr>
      <vt:lpstr>עיבוד נתוני מכרזים</vt:lpstr>
      <vt:lpstr>מכרזים מרמי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2017-06-07T20:54:11Z</dcterms:modified>
</cp:coreProperties>
</file>