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gev\OneDrive\מסמכים\MuniIndex\המדד המוניציפלי\"/>
    </mc:Choice>
  </mc:AlternateContent>
  <xr:revisionPtr revIDLastSave="75" documentId="8_{17F81FAC-5116-4FDF-A744-87C2D31722A4}" xr6:coauthVersionLast="45" xr6:coauthVersionMax="45" xr10:uidLastSave="{4A786455-FAB9-4FB3-BB2A-30C85493E552}"/>
  <bookViews>
    <workbookView xWindow="-120" yWindow="-120" windowWidth="29040" windowHeight="15840" xr2:uid="{EA8044CC-E60B-414E-8115-4AB8DA2A0AFC}"/>
  </bookViews>
  <sheets>
    <sheet name="גיליון1" sheetId="1" r:id="rId1"/>
    <sheet name="infoNadlan_27_09_2020_10_44_5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32" i="1" l="1"/>
  <c r="R33" i="1" s="1"/>
  <c r="S32" i="1" l="1"/>
  <c r="T11" i="1"/>
  <c r="S10" i="1"/>
  <c r="S14" i="1" s="1"/>
  <c r="P18" i="1"/>
  <c r="N30" i="1"/>
  <c r="R28" i="1"/>
  <c r="R26" i="1"/>
  <c r="R29" i="1" s="1"/>
  <c r="R34" i="1" s="1"/>
  <c r="K22" i="2" l="1"/>
  <c r="K8" i="2"/>
  <c r="N24" i="1"/>
  <c r="N25" i="1" s="1"/>
  <c r="N26" i="1" s="1"/>
  <c r="R23" i="1" s="1"/>
  <c r="R24" i="1" s="1"/>
  <c r="R25" i="1" s="1"/>
  <c r="R30" i="1" s="1"/>
  <c r="N22" i="1"/>
  <c r="N23" i="1"/>
  <c r="I22" i="1"/>
  <c r="I4" i="1"/>
  <c r="O4" i="1"/>
  <c r="O13" i="1" s="1"/>
  <c r="G37" i="1"/>
  <c r="P4" i="1"/>
  <c r="N4" i="1"/>
  <c r="L4" i="1"/>
  <c r="I20" i="1"/>
  <c r="I2" i="1"/>
  <c r="R2" i="1"/>
  <c r="S4" i="1"/>
  <c r="U2" i="1" s="1"/>
  <c r="S13" i="1" l="1"/>
  <c r="T4" i="1"/>
  <c r="S9" i="1" s="1"/>
  <c r="S16" i="1" s="1"/>
  <c r="S2" i="1"/>
  <c r="Q3" i="1"/>
  <c r="Q4" i="1"/>
  <c r="Q5" i="1"/>
  <c r="Q6" i="1"/>
  <c r="Q7" i="1"/>
  <c r="Q2" i="1"/>
  <c r="L6" i="1"/>
  <c r="M6" i="1"/>
  <c r="N6" i="1"/>
  <c r="O6" i="1"/>
  <c r="P6" i="1"/>
  <c r="L7" i="1"/>
  <c r="M7" i="1"/>
  <c r="N7" i="1"/>
  <c r="O7" i="1"/>
  <c r="P7" i="1"/>
  <c r="L8" i="1"/>
  <c r="M8" i="1"/>
  <c r="N8" i="1"/>
  <c r="O8" i="1"/>
  <c r="P8" i="1"/>
  <c r="M5" i="1"/>
  <c r="N5" i="1"/>
  <c r="O5" i="1"/>
  <c r="P5" i="1"/>
  <c r="L5" i="1"/>
  <c r="M4" i="1"/>
  <c r="L3" i="1"/>
  <c r="M3" i="1"/>
  <c r="N3" i="1"/>
  <c r="O3" i="1"/>
  <c r="P3" i="1"/>
  <c r="M2" i="1"/>
  <c r="N2" i="1"/>
  <c r="O2" i="1"/>
  <c r="P2" i="1"/>
  <c r="L2" i="1"/>
  <c r="S15" i="1" l="1"/>
</calcChain>
</file>

<file path=xl/sharedStrings.xml><?xml version="1.0" encoding="utf-8"?>
<sst xmlns="http://schemas.openxmlformats.org/spreadsheetml/2006/main" count="152" uniqueCount="75">
  <si>
    <t>מגורים</t>
  </si>
  <si>
    <t>מוסדות ציבוריים</t>
  </si>
  <si>
    <t>מסחר ומשרדים</t>
  </si>
  <si>
    <t>שטח לדרכים</t>
  </si>
  <si>
    <t>שטחים פתוחים</t>
  </si>
  <si>
    <t>אחר</t>
  </si>
  <si>
    <t>סה"כ</t>
  </si>
  <si>
    <t>יעוד</t>
  </si>
  <si>
    <t>שטח בדונם</t>
  </si>
  <si>
    <t>% משטח התוכנית</t>
  </si>
  <si>
    <t>מס מגרשים</t>
  </si>
  <si>
    <t>מ"ר בניה למגורים</t>
  </si>
  <si>
    <t>יח"ד</t>
  </si>
  <si>
    <t>2/140/02/9</t>
  </si>
  <si>
    <t>3/140/03/9</t>
  </si>
  <si>
    <t>1/140/02/9</t>
  </si>
  <si>
    <t>4/140/03/9</t>
  </si>
  <si>
    <t>צפוני</t>
  </si>
  <si>
    <t>דרום מזרחי</t>
  </si>
  <si>
    <t>דרום מערבי</t>
  </si>
  <si>
    <t>מרכזי ללא מתחם מעורב שימושים</t>
  </si>
  <si>
    <t>מסחר,מגורים ומוסדו</t>
  </si>
  <si>
    <t>מרכזי  מתחם מעורב שימושים</t>
  </si>
  <si>
    <t>5/140/03/9</t>
  </si>
  <si>
    <t>ד. כל הזכויות במידע שמורות למנהל.</t>
  </si>
  <si>
    <t>ג. השימוש במידע המוצג במערכת הינו על אחריות המשתמש בלבד.</t>
  </si>
  <si>
    <t>ב. המידע מוצג כפי שהוא מצוי לצורך שומת מס בבסיס הנתונים הממוכן שבידי המנהל.</t>
  </si>
  <si>
    <t>א. מידע זה ניתן כשירות לציבור ולא יוכל לשמש עילה לתביעה כלשהי או אישור לזכויות כלשהן. מסירת המידע אינה מהווה אישור המנהל בדבר אמיתות תוכנו.</t>
  </si>
  <si>
    <t>לידיעתך</t>
  </si>
  <si>
    <t>קריית גת</t>
  </si>
  <si>
    <t>משרדים + מגורים</t>
  </si>
  <si>
    <t>003089-0108-000-00</t>
  </si>
  <si>
    <t>מסחרי + משרדים</t>
  </si>
  <si>
    <t>003089-0108-300-00</t>
  </si>
  <si>
    <t>חדרים</t>
  </si>
  <si>
    <t>שטח</t>
  </si>
  <si>
    <t>שנת בניה</t>
  </si>
  <si>
    <t>ישוב</t>
  </si>
  <si>
    <t>חלק נמכר</t>
  </si>
  <si>
    <t>מהות</t>
  </si>
  <si>
    <t>שווי מכירה בש"ח</t>
  </si>
  <si>
    <t>תמורה מוצהרת בש"ח</t>
  </si>
  <si>
    <t>יום מכירה</t>
  </si>
  <si>
    <t>גוש חלקה</t>
  </si>
  <si>
    <t>קיימות 2 תוצאות</t>
  </si>
  <si>
    <r>
      <t>סוג נכס:</t>
    </r>
    <r>
      <rPr>
        <sz val="10"/>
        <color theme="1"/>
        <rFont val="Calibri"/>
        <family val="2"/>
        <scheme val="minor"/>
      </rPr>
      <t xml:space="preserve"> קרקע     </t>
    </r>
    <r>
      <rPr>
        <b/>
        <sz val="10"/>
        <color theme="1"/>
        <rFont val="Calibri"/>
        <family val="2"/>
        <scheme val="minor"/>
      </rPr>
      <t>מגוש:</t>
    </r>
    <r>
      <rPr>
        <sz val="10"/>
        <color theme="1"/>
        <rFont val="Calibri"/>
        <family val="2"/>
        <scheme val="minor"/>
      </rPr>
      <t xml:space="preserve"> 3089     </t>
    </r>
    <r>
      <rPr>
        <b/>
        <sz val="10"/>
        <color theme="1"/>
        <rFont val="Calibri"/>
        <family val="2"/>
        <scheme val="minor"/>
      </rPr>
      <t>חלקה:</t>
    </r>
    <r>
      <rPr>
        <sz val="10"/>
        <color theme="1"/>
        <rFont val="Calibri"/>
        <family val="2"/>
        <scheme val="minor"/>
      </rPr>
      <t xml:space="preserve"> 108     </t>
    </r>
    <r>
      <rPr>
        <b/>
        <sz val="10"/>
        <color theme="1"/>
        <rFont val="Calibri"/>
        <family val="2"/>
        <scheme val="minor"/>
      </rPr>
      <t>עד גוש:</t>
    </r>
    <r>
      <rPr>
        <sz val="10"/>
        <color theme="1"/>
        <rFont val="Calibri"/>
        <family val="2"/>
        <scheme val="minor"/>
      </rPr>
      <t xml:space="preserve"> 3089     </t>
    </r>
    <r>
      <rPr>
        <b/>
        <sz val="10"/>
        <color theme="1"/>
        <rFont val="Calibri"/>
        <family val="2"/>
        <scheme val="minor"/>
      </rPr>
      <t>עד חלקה:</t>
    </r>
    <r>
      <rPr>
        <sz val="10"/>
        <color theme="1"/>
        <rFont val="Calibri"/>
        <family val="2"/>
        <scheme val="minor"/>
      </rPr>
      <t xml:space="preserve"> 108     </t>
    </r>
  </si>
  <si>
    <t>מערכת מידע נדלן</t>
  </si>
  <si>
    <r>
      <t>סוג נכס:</t>
    </r>
    <r>
      <rPr>
        <sz val="10"/>
        <color theme="1"/>
        <rFont val="Calibri"/>
        <family val="2"/>
        <scheme val="minor"/>
      </rPr>
      <t xml:space="preserve"> קרקע     </t>
    </r>
    <r>
      <rPr>
        <b/>
        <sz val="10"/>
        <color theme="1"/>
        <rFont val="Calibri"/>
        <family val="2"/>
        <scheme val="minor"/>
      </rPr>
      <t>מגוש:</t>
    </r>
    <r>
      <rPr>
        <sz val="10"/>
        <color theme="1"/>
        <rFont val="Calibri"/>
        <family val="2"/>
        <scheme val="minor"/>
      </rPr>
      <t xml:space="preserve"> 2909     </t>
    </r>
    <r>
      <rPr>
        <b/>
        <sz val="10"/>
        <color theme="1"/>
        <rFont val="Calibri"/>
        <family val="2"/>
        <scheme val="minor"/>
      </rPr>
      <t>חלקה:</t>
    </r>
    <r>
      <rPr>
        <sz val="10"/>
        <color theme="1"/>
        <rFont val="Calibri"/>
        <family val="2"/>
        <scheme val="minor"/>
      </rPr>
      <t xml:space="preserve"> 173     </t>
    </r>
    <r>
      <rPr>
        <b/>
        <sz val="10"/>
        <color theme="1"/>
        <rFont val="Calibri"/>
        <family val="2"/>
        <scheme val="minor"/>
      </rPr>
      <t>עד גוש:</t>
    </r>
    <r>
      <rPr>
        <sz val="10"/>
        <color theme="1"/>
        <rFont val="Calibri"/>
        <family val="2"/>
        <scheme val="minor"/>
      </rPr>
      <t xml:space="preserve"> 2909     </t>
    </r>
    <r>
      <rPr>
        <b/>
        <sz val="10"/>
        <color theme="1"/>
        <rFont val="Calibri"/>
        <family val="2"/>
        <scheme val="minor"/>
      </rPr>
      <t>עד חלקה:</t>
    </r>
    <r>
      <rPr>
        <sz val="10"/>
        <color theme="1"/>
        <rFont val="Calibri"/>
        <family val="2"/>
        <scheme val="minor"/>
      </rPr>
      <t xml:space="preserve"> 173     </t>
    </r>
  </si>
  <si>
    <t>קיימות 1 תוצאות</t>
  </si>
  <si>
    <t>002909-0173-000-00</t>
  </si>
  <si>
    <t>סה"כ הכנסות ארנונה</t>
  </si>
  <si>
    <t>הכנסות ארנונה עם פקטור על תעריף הארנונה למגורים</t>
  </si>
  <si>
    <t>הכנסות ארנונה נדרשות</t>
  </si>
  <si>
    <t>פער</t>
  </si>
  <si>
    <t>מ"ר תעשייה נדרשים לטובת כיסוי הפער</t>
  </si>
  <si>
    <t>מ"ר משרדים נדרשים לטובת כיסוי הפער</t>
  </si>
  <si>
    <t>הוצאה ממוצעת לחודש לנפש בקריית גת</t>
  </si>
  <si>
    <t>הוצאה ממוצעת לחודש  לנפש בכרמי גת</t>
  </si>
  <si>
    <t>הוצאה ממוצעת לחודש  למשק בית בקריית גת</t>
  </si>
  <si>
    <t>הוצאה ממוצעת לחודש  למשק בית בכרמי גת</t>
  </si>
  <si>
    <t>הוצאה ממוצעת לחודש  למשק בית בכרמי גת על מוצרי צריכה</t>
  </si>
  <si>
    <t>פדיון צפוי לחודש  לשטחי מסחר בכרמי גת</t>
  </si>
  <si>
    <t>פדיון צפוי לחודש למ"ר מסחר בכרמי גת</t>
  </si>
  <si>
    <t>עלות בינוי מסחר למ"ר</t>
  </si>
  <si>
    <t>עלות הקרקע למסחר בכרמי גת</t>
  </si>
  <si>
    <t>פדיון צפוי לשנה למ"ר</t>
  </si>
  <si>
    <t>פדיון צפוי לשנה משטחי המסחר בכרמי גת</t>
  </si>
  <si>
    <t>עלויות הבינוי של שטחי המסחר ברכמי גת</t>
  </si>
  <si>
    <t>פקטור עלויות בינוי לעלויות כוללות ללא קרקע</t>
  </si>
  <si>
    <t>עלות כוללת לשטחי מסחר בכרמי גת</t>
  </si>
  <si>
    <t>פדיון צפוי ראלי בכרמי גת לשנה</t>
  </si>
  <si>
    <t>אחוז שכר דירה מפדיון</t>
  </si>
  <si>
    <t>הכנסות שכירות שנתיות משטחי מסחר בכרמי גת</t>
  </si>
  <si>
    <t>הכנסות מהוונות משכירות</t>
  </si>
  <si>
    <t>רווחיות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</si>
</sst>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6" formatCode="0.0%"/>
  </numFmts>
  <fonts count="26" x14ac:knownFonts="1"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charset val="177"/>
      <scheme val="minor"/>
    </font>
    <font>
      <sz val="18"/>
      <color theme="3"/>
      <name val="Calibri Light"/>
      <family val="2"/>
      <charset val="177"/>
      <scheme val="major"/>
    </font>
    <font>
      <b/>
      <sz val="15"/>
      <color theme="3"/>
      <name val="Calibri"/>
      <family val="2"/>
      <charset val="177"/>
      <scheme val="minor"/>
    </font>
    <font>
      <b/>
      <sz val="13"/>
      <color theme="3"/>
      <name val="Calibri"/>
      <family val="2"/>
      <charset val="177"/>
      <scheme val="minor"/>
    </font>
    <font>
      <b/>
      <sz val="11"/>
      <color theme="3"/>
      <name val="Calibri"/>
      <family val="2"/>
      <charset val="177"/>
      <scheme val="minor"/>
    </font>
    <font>
      <sz val="11"/>
      <color rgb="FF006100"/>
      <name val="Calibri"/>
      <family val="2"/>
      <charset val="177"/>
      <scheme val="minor"/>
    </font>
    <font>
      <sz val="11"/>
      <color rgb="FF9C0006"/>
      <name val="Calibri"/>
      <family val="2"/>
      <charset val="177"/>
      <scheme val="minor"/>
    </font>
    <font>
      <sz val="11"/>
      <color rgb="FF9C5700"/>
      <name val="Calibri"/>
      <family val="2"/>
      <charset val="177"/>
      <scheme val="minor"/>
    </font>
    <font>
      <sz val="11"/>
      <color rgb="FF3F3F76"/>
      <name val="Calibri"/>
      <family val="2"/>
      <charset val="177"/>
      <scheme val="minor"/>
    </font>
    <font>
      <b/>
      <sz val="11"/>
      <color rgb="FF3F3F3F"/>
      <name val="Calibri"/>
      <family val="2"/>
      <charset val="177"/>
      <scheme val="minor"/>
    </font>
    <font>
      <b/>
      <sz val="11"/>
      <color rgb="FFFA7D00"/>
      <name val="Calibri"/>
      <family val="2"/>
      <charset val="177"/>
      <scheme val="minor"/>
    </font>
    <font>
      <sz val="11"/>
      <color rgb="FFFA7D00"/>
      <name val="Calibri"/>
      <family val="2"/>
      <charset val="177"/>
      <scheme val="minor"/>
    </font>
    <font>
      <b/>
      <sz val="11"/>
      <color theme="0"/>
      <name val="Calibri"/>
      <family val="2"/>
      <charset val="177"/>
      <scheme val="minor"/>
    </font>
    <font>
      <sz val="11"/>
      <color rgb="FFFF0000"/>
      <name val="Calibri"/>
      <family val="2"/>
      <charset val="177"/>
      <scheme val="minor"/>
    </font>
    <font>
      <i/>
      <sz val="11"/>
      <color rgb="FF7F7F7F"/>
      <name val="Calibri"/>
      <family val="2"/>
      <charset val="177"/>
      <scheme val="minor"/>
    </font>
    <font>
      <b/>
      <sz val="11"/>
      <color theme="1"/>
      <name val="Calibri"/>
      <family val="2"/>
      <charset val="177"/>
      <scheme val="minor"/>
    </font>
    <font>
      <sz val="11"/>
      <color theme="0"/>
      <name val="Calibri"/>
      <family val="2"/>
      <charset val="177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charset val="177"/>
      <scheme val="minor"/>
    </font>
    <font>
      <b/>
      <sz val="9"/>
      <color rgb="FFFFFFFF"/>
      <name val="Arial"/>
      <family val="2"/>
    </font>
    <font>
      <b/>
      <sz val="12"/>
      <color rgb="FF3270AD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6E8CAA"/>
        <bgColor indexed="64"/>
      </patternFill>
    </fill>
    <fill>
      <patternFill patternType="solid">
        <fgColor rgb="FFCCDDFF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E8E8E8"/>
      </left>
      <right/>
      <top/>
      <bottom style="medium">
        <color rgb="FFE0E0E0"/>
      </bottom>
      <diagonal/>
    </border>
    <border>
      <left style="medium">
        <color rgb="FFE8E8E8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38">
    <xf numFmtId="0" fontId="0" fillId="0" borderId="0" xfId="0"/>
    <xf numFmtId="0" fontId="20" fillId="0" borderId="10" xfId="44" applyBorder="1" applyAlignment="1">
      <alignment vertical="center" wrapText="1"/>
    </xf>
    <xf numFmtId="0" fontId="18" fillId="0" borderId="10" xfId="0" applyFont="1" applyBorder="1" applyAlignment="1">
      <alignment horizontal="right" vertical="center" wrapText="1"/>
    </xf>
    <xf numFmtId="0" fontId="19" fillId="0" borderId="10" xfId="0" applyFont="1" applyBorder="1" applyAlignment="1">
      <alignment vertical="center" wrapText="1"/>
    </xf>
    <xf numFmtId="0" fontId="19" fillId="0" borderId="10" xfId="0" applyFont="1" applyBorder="1" applyAlignment="1">
      <alignment horizontal="right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1" fillId="33" borderId="0" xfId="0" applyFont="1" applyFill="1" applyAlignment="1">
      <alignment horizontal="center" vertical="center" wrapText="1"/>
    </xf>
    <xf numFmtId="0" fontId="22" fillId="0" borderId="0" xfId="0" applyFont="1"/>
    <xf numFmtId="0" fontId="21" fillId="33" borderId="0" xfId="0" applyFont="1" applyFill="1" applyAlignment="1">
      <alignment horizontal="right" vertical="center" wrapText="1"/>
    </xf>
    <xf numFmtId="0" fontId="20" fillId="0" borderId="10" xfId="44" applyBorder="1" applyAlignment="1">
      <alignment horizontal="right" vertical="center" wrapText="1"/>
    </xf>
    <xf numFmtId="0" fontId="0" fillId="0" borderId="0" xfId="0" applyAlignment="1">
      <alignment horizontal="right"/>
    </xf>
    <xf numFmtId="164" fontId="0" fillId="0" borderId="0" xfId="1" applyNumberFormat="1" applyFont="1"/>
    <xf numFmtId="9" fontId="0" fillId="0" borderId="0" xfId="2" applyFont="1"/>
    <xf numFmtId="43" fontId="0" fillId="0" borderId="0" xfId="0" applyNumberFormat="1"/>
    <xf numFmtId="164" fontId="0" fillId="0" borderId="0" xfId="0" applyNumberFormat="1"/>
    <xf numFmtId="0" fontId="18" fillId="0" borderId="11" xfId="0" applyFont="1" applyFill="1" applyBorder="1" applyAlignment="1">
      <alignment horizontal="right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23" fillId="0" borderId="0" xfId="0" applyFont="1"/>
    <xf numFmtId="0" fontId="24" fillId="0" borderId="0" xfId="0" applyFont="1"/>
    <xf numFmtId="0" fontId="23" fillId="34" borderId="12" xfId="0" applyFont="1" applyFill="1" applyBorder="1" applyAlignment="1">
      <alignment wrapText="1"/>
    </xf>
    <xf numFmtId="3" fontId="23" fillId="34" borderId="12" xfId="0" applyNumberFormat="1" applyFont="1" applyFill="1" applyBorder="1" applyAlignment="1">
      <alignment wrapText="1"/>
    </xf>
    <xf numFmtId="14" fontId="23" fillId="34" borderId="12" xfId="0" applyNumberFormat="1" applyFont="1" applyFill="1" applyBorder="1" applyAlignment="1">
      <alignment wrapText="1"/>
    </xf>
    <xf numFmtId="0" fontId="24" fillId="34" borderId="12" xfId="0" applyFont="1" applyFill="1" applyBorder="1" applyAlignment="1">
      <alignment horizontal="center" vertical="center" wrapText="1"/>
    </xf>
    <xf numFmtId="0" fontId="25" fillId="0" borderId="0" xfId="0" applyFont="1"/>
    <xf numFmtId="9" fontId="0" fillId="0" borderId="0" xfId="0" applyNumberFormat="1"/>
    <xf numFmtId="0" fontId="0" fillId="0" borderId="0" xfId="0"/>
    <xf numFmtId="0" fontId="25" fillId="0" borderId="0" xfId="0" applyFont="1"/>
    <xf numFmtId="0" fontId="24" fillId="0" borderId="0" xfId="0" applyFont="1"/>
    <xf numFmtId="0" fontId="23" fillId="0" borderId="0" xfId="0" applyFont="1"/>
    <xf numFmtId="0" fontId="24" fillId="34" borderId="12" xfId="0" applyFont="1" applyFill="1" applyBorder="1" applyAlignment="1">
      <alignment horizontal="center" vertical="center" wrapText="1"/>
    </xf>
    <xf numFmtId="0" fontId="23" fillId="34" borderId="12" xfId="0" applyFont="1" applyFill="1" applyBorder="1" applyAlignment="1">
      <alignment wrapText="1"/>
    </xf>
    <xf numFmtId="14" fontId="23" fillId="34" borderId="12" xfId="0" applyNumberFormat="1" applyFont="1" applyFill="1" applyBorder="1" applyAlignment="1">
      <alignment wrapText="1"/>
    </xf>
    <xf numFmtId="3" fontId="23" fillId="34" borderId="12" xfId="0" applyNumberFormat="1" applyFont="1" applyFill="1" applyBorder="1" applyAlignment="1">
      <alignment wrapText="1"/>
    </xf>
    <xf numFmtId="0" fontId="23" fillId="0" borderId="0" xfId="0" applyFont="1" applyAlignment="1">
      <alignment wrapText="1"/>
    </xf>
    <xf numFmtId="0" fontId="0" fillId="0" borderId="0" xfId="0"/>
    <xf numFmtId="166" fontId="0" fillId="0" borderId="0" xfId="2" applyNumberFormat="1" applyFont="1"/>
  </cellXfs>
  <cellStyles count="45">
    <cellStyle name="20% - הדגשה1" xfId="21" builtinId="30" customBuiltin="1"/>
    <cellStyle name="20% - הדגשה2" xfId="25" builtinId="34" customBuiltin="1"/>
    <cellStyle name="20% - הדגשה3" xfId="29" builtinId="38" customBuiltin="1"/>
    <cellStyle name="20% - הדגשה4" xfId="33" builtinId="42" customBuiltin="1"/>
    <cellStyle name="20% - הדגשה5" xfId="37" builtinId="46" customBuiltin="1"/>
    <cellStyle name="20% - הדגשה6" xfId="41" builtinId="50" customBuiltin="1"/>
    <cellStyle name="40% - הדגשה1" xfId="22" builtinId="31" customBuiltin="1"/>
    <cellStyle name="40% - הדגשה2" xfId="26" builtinId="35" customBuiltin="1"/>
    <cellStyle name="40% - הדגשה3" xfId="30" builtinId="39" customBuiltin="1"/>
    <cellStyle name="40% - הדגשה4" xfId="34" builtinId="43" customBuiltin="1"/>
    <cellStyle name="40% - הדגשה5" xfId="38" builtinId="47" customBuiltin="1"/>
    <cellStyle name="40% - הדגשה6" xfId="42" builtinId="51" customBuiltin="1"/>
    <cellStyle name="60% - הדגשה1" xfId="23" builtinId="32" customBuiltin="1"/>
    <cellStyle name="60% - הדגשה2" xfId="27" builtinId="36" customBuiltin="1"/>
    <cellStyle name="60% - הדגשה3" xfId="31" builtinId="40" customBuiltin="1"/>
    <cellStyle name="60% - הדגשה4" xfId="35" builtinId="44" customBuiltin="1"/>
    <cellStyle name="60% - הדגשה5" xfId="39" builtinId="48" customBuiltin="1"/>
    <cellStyle name="60% - הדגשה6" xfId="43" builtinId="52" customBuiltin="1"/>
    <cellStyle name="Comma" xfId="1" builtinId="3"/>
    <cellStyle name="Normal" xfId="0" builtinId="0"/>
    <cellStyle name="Percent" xfId="2" builtinId="5"/>
    <cellStyle name="הדגשה1" xfId="20" builtinId="29" customBuiltin="1"/>
    <cellStyle name="הדגשה2" xfId="24" builtinId="33" customBuiltin="1"/>
    <cellStyle name="הדגשה3" xfId="28" builtinId="37" customBuiltin="1"/>
    <cellStyle name="הדגשה4" xfId="32" builtinId="41" customBuiltin="1"/>
    <cellStyle name="הדגשה5" xfId="36" builtinId="45" customBuiltin="1"/>
    <cellStyle name="הדגשה6" xfId="40" builtinId="49" customBuiltin="1"/>
    <cellStyle name="היפר-קישור" xfId="44" builtinId="8"/>
    <cellStyle name="הערה" xfId="17" builtinId="10" customBuiltin="1"/>
    <cellStyle name="חישוב" xfId="13" builtinId="22" customBuiltin="1"/>
    <cellStyle name="טוב" xfId="8" builtinId="26" customBuiltin="1"/>
    <cellStyle name="טקסט אזהרה" xfId="16" builtinId="11" customBuiltin="1"/>
    <cellStyle name="טקסט הסברי" xfId="18" builtinId="53" customBuiltin="1"/>
    <cellStyle name="כותרת" xfId="3" builtinId="15" customBuiltin="1"/>
    <cellStyle name="כותרת 1" xfId="4" builtinId="16" customBuiltin="1"/>
    <cellStyle name="כותרת 2" xfId="5" builtinId="17" customBuiltin="1"/>
    <cellStyle name="כותרת 3" xfId="6" builtinId="18" customBuiltin="1"/>
    <cellStyle name="כותרת 4" xfId="7" builtinId="19" customBuiltin="1"/>
    <cellStyle name="ניטראלי" xfId="10" builtinId="28" customBuiltin="1"/>
    <cellStyle name="סה&quot;כ" xfId="19" builtinId="25" customBuiltin="1"/>
    <cellStyle name="פלט" xfId="12" builtinId="21" customBuiltin="1"/>
    <cellStyle name="קלט" xfId="11" builtinId="20" customBuiltin="1"/>
    <cellStyle name="רע" xfId="9" builtinId="27" customBuiltin="1"/>
    <cellStyle name="תא מסומן" xfId="15" builtinId="23" customBuiltin="1"/>
    <cellStyle name="תא מקושר" xfId="14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javascript:openMigrashimPage('migrashim.aspx?msHasava=1012166&amp;kvutza=05','%ee%e5%f1%e3%e5%fa+%f6%e9%e1%e5%f8%e9%e9%ed','3%2f140%2f03%2f9',17)" TargetMode="External"/><Relationship Id="rId13" Type="http://schemas.openxmlformats.org/officeDocument/2006/relationships/hyperlink" Target="javascript:openMigrashimPage('migrashim.aspx?msHasava=1050603&amp;kvutza=05','%ee%e5%f1%e3%e5%fa+%f6%e9%e1%e5%f8%e9%e9%ed','1%2f140%2f02%2f9',6)" TargetMode="External"/><Relationship Id="rId18" Type="http://schemas.openxmlformats.org/officeDocument/2006/relationships/hyperlink" Target="javascript:openMigrashimPage('migrashim.aspx?msHasava=1012183&amp;kvutza=01','%ee%e2%e5%f8%e9%ed','4%2f140%2f03%2f9',138)" TargetMode="External"/><Relationship Id="rId26" Type="http://schemas.openxmlformats.org/officeDocument/2006/relationships/hyperlink" Target="javascript:openMigrashimPage('migrashim.aspx?msHasava=1012089&amp;kvutza=08','%f9%e8%e7+%ec%e3%f8%eb%e9%ed','2%2f140%2f02%2f9',41)" TargetMode="External"/><Relationship Id="rId3" Type="http://schemas.openxmlformats.org/officeDocument/2006/relationships/hyperlink" Target="javascript:openMigrashimPage('migrashim.aspx?msHasava=1012089&amp;kvutza=03','%ee%f1%e7%f8+%e5%ee%f9%f8%e3%e9%ed','2%2f140%2f02%2f9',1)" TargetMode="External"/><Relationship Id="rId21" Type="http://schemas.openxmlformats.org/officeDocument/2006/relationships/hyperlink" Target="javascript:openMigrashimPage('migrashim.aspx?msHasava=1012183&amp;kvutza=07','%f9%e8%e7%e9%ed+%f4%fa%e5%e7%e9%ed','4%2f140%2f03%2f9',15)" TargetMode="External"/><Relationship Id="rId7" Type="http://schemas.openxmlformats.org/officeDocument/2006/relationships/hyperlink" Target="javascript:openMigrashimPage('migrashim.aspx?msHasava=1012166&amp;kvutza=01','%ee%e2%e5%f8%e9%ed','3%2f140%2f03%2f9',188)" TargetMode="External"/><Relationship Id="rId12" Type="http://schemas.openxmlformats.org/officeDocument/2006/relationships/hyperlink" Target="javascript:openMigrashimPage('migrashim.aspx?msHasava=1050603&amp;kvutza=01','%ee%e2%e5%f8%e9%ed','1%2f140%2f02%2f9',194)" TargetMode="External"/><Relationship Id="rId17" Type="http://schemas.openxmlformats.org/officeDocument/2006/relationships/hyperlink" Target="javascript:openMigrashimPage('migrashim.aspx?msHasava=1050603&amp;kvutza=10,13','%e0%e7%f8','1%2f140%2f02%2f9',13)" TargetMode="External"/><Relationship Id="rId25" Type="http://schemas.openxmlformats.org/officeDocument/2006/relationships/hyperlink" Target="javascript:openMigrashimPage('migrashim.aspx?msHasava=1012089&amp;kvutza=03','%ee%f1%e7%f8+%e5%ee%f9%f8%e3%e9%ed','2%2f140%2f02%2f9',1)" TargetMode="External"/><Relationship Id="rId2" Type="http://schemas.openxmlformats.org/officeDocument/2006/relationships/hyperlink" Target="javascript:openMigrashimPage('migrashim.aspx?msHasava=1012089&amp;kvutza=05','%ee%e5%f1%e3%e5%fa+%f6%e9%e1%e5%f8%e9%e9%ed','2%2f140%2f02%2f9',7)" TargetMode="External"/><Relationship Id="rId16" Type="http://schemas.openxmlformats.org/officeDocument/2006/relationships/hyperlink" Target="javascript:openMigrashimPage('migrashim.aspx?msHasava=1050603&amp;kvutza=07','%f9%e8%e7%e9%ed+%f4%fa%e5%e7%e9%ed','1%2f140%2f02%2f9',33)" TargetMode="External"/><Relationship Id="rId20" Type="http://schemas.openxmlformats.org/officeDocument/2006/relationships/hyperlink" Target="javascript:openMigrashimPage('migrashim.aspx?msHasava=1012183&amp;kvutza=08','%f9%e8%e7+%ec%e3%f8%eb%e9%ed','4%2f140%2f03%2f9',2)" TargetMode="External"/><Relationship Id="rId29" Type="http://schemas.openxmlformats.org/officeDocument/2006/relationships/hyperlink" Target="javascript:openMigrashimPage('migrashim.aspx?msHasava=1013954&amp;kvutza=27','%ee%f1%e7%f8%2c%ee%e2%e5%f8%e9%ed+%e5%ee%e5%f1%e3%e5','5%2f140%2f03%2f9',1)" TargetMode="External"/><Relationship Id="rId1" Type="http://schemas.openxmlformats.org/officeDocument/2006/relationships/hyperlink" Target="javascript:openMigrashimPage('migrashim.aspx?msHasava=1012089&amp;kvutza=01','%ee%e2%e5%f8%e9%ed','2%2f140%2f02%2f9',167)" TargetMode="External"/><Relationship Id="rId6" Type="http://schemas.openxmlformats.org/officeDocument/2006/relationships/hyperlink" Target="javascript:openMigrashimPage('migrashim.aspx?msHasava=1012089&amp;kvutza=10,13','%e0%e7%f8','2%2f140%2f02%2f9',7)" TargetMode="External"/><Relationship Id="rId11" Type="http://schemas.openxmlformats.org/officeDocument/2006/relationships/hyperlink" Target="javascript:openMigrashimPage('migrashim.aspx?msHasava=1012166&amp;kvutza=10','%e0%e7%f8','3%2f140%2f03%2f9',17)" TargetMode="External"/><Relationship Id="rId24" Type="http://schemas.openxmlformats.org/officeDocument/2006/relationships/hyperlink" Target="javascript:openMigrashimPage('migrashim.aspx?msHasava=1012089&amp;kvutza=05','%ee%e5%f1%e3%e5%fa+%f6%e9%e1%e5%f8%e9%e9%ed','2%2f140%2f02%2f9',7)" TargetMode="External"/><Relationship Id="rId5" Type="http://schemas.openxmlformats.org/officeDocument/2006/relationships/hyperlink" Target="javascript:openMigrashimPage('migrashim.aspx?msHasava=1012089&amp;kvutza=07','%f9%e8%e7%e9%ed+%f4%fa%e5%e7%e9%ed','2%2f140%2f02%2f9',42)" TargetMode="External"/><Relationship Id="rId15" Type="http://schemas.openxmlformats.org/officeDocument/2006/relationships/hyperlink" Target="javascript:openMigrashimPage('migrashim.aspx?msHasava=1050603&amp;kvutza=08','%f9%e8%e7+%ec%e3%f8%eb%e9%ed','1%2f140%2f02%2f9',32)" TargetMode="External"/><Relationship Id="rId23" Type="http://schemas.openxmlformats.org/officeDocument/2006/relationships/hyperlink" Target="javascript:openMigrashimPage('migrashim.aspx?msHasava=1012089&amp;kvutza=01','%ee%e2%e5%f8%e9%ed','2%2f140%2f02%2f9',167)" TargetMode="External"/><Relationship Id="rId28" Type="http://schemas.openxmlformats.org/officeDocument/2006/relationships/hyperlink" Target="javascript:openMigrashimPage('migrashim.aspx?msHasava=1012089&amp;kvutza=10,13','%e0%e7%f8','2%2f140%2f02%2f9',7)" TargetMode="External"/><Relationship Id="rId10" Type="http://schemas.openxmlformats.org/officeDocument/2006/relationships/hyperlink" Target="javascript:openMigrashimPage('migrashim.aspx?msHasava=1012166&amp;kvutza=07','%f9%e8%e7%e9%ed+%f4%fa%e5%e7%e9%ed','3%2f140%2f03%2f9',20)" TargetMode="External"/><Relationship Id="rId19" Type="http://schemas.openxmlformats.org/officeDocument/2006/relationships/hyperlink" Target="javascript:openMigrashimPage('migrashim.aspx?msHasava=1012183&amp;kvutza=05','%ee%e5%f1%e3%e5%fa+%f6%e9%e1%e5%f8%e9%e9%ed','4%2f140%2f03%2f9',7)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javascript:openMigrashimPage('migrashim.aspx?msHasava=1012089&amp;kvutza=08','%f9%e8%e7+%ec%e3%f8%eb%e9%ed','2%2f140%2f02%2f9',41)" TargetMode="External"/><Relationship Id="rId9" Type="http://schemas.openxmlformats.org/officeDocument/2006/relationships/hyperlink" Target="javascript:openMigrashimPage('migrashim.aspx?msHasava=1012166&amp;kvutza=08','%f9%e8%e7+%ec%e3%f8%eb%e9%ed','3%2f140%2f03%2f9',23)" TargetMode="External"/><Relationship Id="rId14" Type="http://schemas.openxmlformats.org/officeDocument/2006/relationships/hyperlink" Target="javascript:openMigrashimPage('migrashim.aspx?msHasava=1050603&amp;kvutza=03','%ee%f1%e7%f8+%e5%ee%f9%f8%e3%e9%ed','1%2f140%2f02%2f9',1)" TargetMode="External"/><Relationship Id="rId22" Type="http://schemas.openxmlformats.org/officeDocument/2006/relationships/hyperlink" Target="javascript:openMigrashimPage('migrashim.aspx?msHasava=1012183&amp;kvutza=10','%e0%e7%f8','4%2f140%2f03%2f9',4)" TargetMode="External"/><Relationship Id="rId27" Type="http://schemas.openxmlformats.org/officeDocument/2006/relationships/hyperlink" Target="javascript:openMigrashimPage('migrashim.aspx?msHasava=1012089&amp;kvutza=07','%f9%e8%e7%e9%ed+%f4%fa%e5%e7%e9%ed','2%2f140%2f02%2f9',42)" TargetMode="External"/><Relationship Id="rId30" Type="http://schemas.openxmlformats.org/officeDocument/2006/relationships/hyperlink" Target="javascript:openMigrashimPage('migrashim.aspx?msHasava=1013954&amp;kvutza=08','%f9%e8%e7+%ec%e3%f8%eb%e9%ed','5%2f140%2f03%2f9',1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46487-3FBB-4560-B848-83550D34F413}">
  <dimension ref="A1:U39"/>
  <sheetViews>
    <sheetView rightToLeft="1" tabSelected="1" topLeftCell="B4" workbookViewId="0">
      <selection activeCell="P32" sqref="P32"/>
    </sheetView>
  </sheetViews>
  <sheetFormatPr defaultRowHeight="15" x14ac:dyDescent="0.25"/>
  <cols>
    <col min="1" max="1" width="20.42578125" style="12" customWidth="1"/>
    <col min="2" max="6" width="11.5703125" style="7" customWidth="1"/>
    <col min="7" max="7" width="12" bestFit="1" customWidth="1"/>
    <col min="11" max="11" width="20.140625" customWidth="1"/>
    <col min="12" max="12" width="9.28515625" bestFit="1" customWidth="1"/>
    <col min="13" max="13" width="30.42578125" bestFit="1" customWidth="1"/>
    <col min="14" max="14" width="13.7109375" bestFit="1" customWidth="1"/>
    <col min="15" max="15" width="12.5703125" bestFit="1" customWidth="1"/>
    <col min="16" max="16" width="13.7109375" bestFit="1" customWidth="1"/>
    <col min="17" max="17" width="35.42578125" bestFit="1" customWidth="1"/>
    <col min="18" max="18" width="17.7109375" bestFit="1" customWidth="1"/>
    <col min="19" max="19" width="16.28515625" bestFit="1" customWidth="1"/>
    <col min="20" max="20" width="10" bestFit="1" customWidth="1"/>
    <col min="21" max="21" width="13.7109375" bestFit="1" customWidth="1"/>
  </cols>
  <sheetData>
    <row r="1" spans="1:21" ht="24" x14ac:dyDescent="0.25">
      <c r="A1" s="10" t="s">
        <v>7</v>
      </c>
      <c r="B1" s="8" t="s">
        <v>8</v>
      </c>
      <c r="C1" s="8" t="s">
        <v>9</v>
      </c>
      <c r="D1" s="8" t="s">
        <v>10</v>
      </c>
      <c r="E1" s="8" t="s">
        <v>11</v>
      </c>
      <c r="F1" s="8" t="s">
        <v>12</v>
      </c>
      <c r="G1" s="9" t="s">
        <v>13</v>
      </c>
      <c r="H1" s="8" t="s">
        <v>18</v>
      </c>
      <c r="K1" s="8" t="s">
        <v>7</v>
      </c>
      <c r="L1" s="8" t="s">
        <v>8</v>
      </c>
      <c r="M1" s="8" t="s">
        <v>9</v>
      </c>
      <c r="N1" s="8" t="s">
        <v>10</v>
      </c>
      <c r="O1" s="8" t="s">
        <v>11</v>
      </c>
      <c r="P1" s="8" t="s">
        <v>12</v>
      </c>
    </row>
    <row r="2" spans="1:21" ht="15.75" thickBot="1" x14ac:dyDescent="0.3">
      <c r="A2" s="11" t="s">
        <v>0</v>
      </c>
      <c r="B2" s="5">
        <v>147.501</v>
      </c>
      <c r="C2" s="5">
        <v>29.89</v>
      </c>
      <c r="D2" s="5">
        <v>167</v>
      </c>
      <c r="E2" s="5">
        <v>240311</v>
      </c>
      <c r="F2" s="5">
        <v>936</v>
      </c>
      <c r="I2" s="15">
        <f>F2*$R$2</f>
        <v>3576.9770706598033</v>
      </c>
      <c r="K2" s="1" t="s">
        <v>0</v>
      </c>
      <c r="L2" s="13">
        <f>B2+B12+B20+B29</f>
        <v>746.98</v>
      </c>
      <c r="M2" s="13">
        <f t="shared" ref="M2:P2" si="0">C2+C12+C20+C29</f>
        <v>156.85000000000002</v>
      </c>
      <c r="N2" s="13">
        <f t="shared" si="0"/>
        <v>687</v>
      </c>
      <c r="O2" s="13">
        <f t="shared" si="0"/>
        <v>1266033</v>
      </c>
      <c r="P2" s="13">
        <f t="shared" si="0"/>
        <v>6411</v>
      </c>
      <c r="Q2" s="14">
        <f>L2/$L$8</f>
        <v>0.38017015996583975</v>
      </c>
      <c r="R2" s="15">
        <f>24500/P2</f>
        <v>3.8215566994228669</v>
      </c>
      <c r="S2" s="15">
        <f>O2*41.5</f>
        <v>52540369.5</v>
      </c>
      <c r="U2" s="15">
        <f>S2+S4</f>
        <v>53090659.5</v>
      </c>
    </row>
    <row r="3" spans="1:21" ht="15.75" thickBot="1" x14ac:dyDescent="0.3">
      <c r="A3" s="11" t="s">
        <v>1</v>
      </c>
      <c r="B3" s="5">
        <v>52.19</v>
      </c>
      <c r="C3" s="5">
        <v>10.58</v>
      </c>
      <c r="D3" s="5">
        <v>7</v>
      </c>
      <c r="E3" s="5">
        <v>0</v>
      </c>
      <c r="F3" s="5">
        <v>0</v>
      </c>
      <c r="K3" s="1" t="s">
        <v>1</v>
      </c>
      <c r="L3" s="13">
        <f>B3+B13+B21+B30</f>
        <v>213.58699999999999</v>
      </c>
      <c r="M3" s="13">
        <f t="shared" ref="M3" si="1">C3+C13+C21+C30</f>
        <v>41.22</v>
      </c>
      <c r="N3" s="13">
        <f t="shared" ref="N3" si="2">D3+D13+D21+D30</f>
        <v>37</v>
      </c>
      <c r="O3" s="13">
        <f t="shared" ref="O3" si="3">E3+E13+E21+E30</f>
        <v>0</v>
      </c>
      <c r="P3" s="13">
        <f t="shared" ref="P3" si="4">F3+F13+F21+F30</f>
        <v>0</v>
      </c>
      <c r="Q3" s="14">
        <f t="shared" ref="Q3:Q7" si="5">L3/$L$8</f>
        <v>0.10870358504461139</v>
      </c>
    </row>
    <row r="4" spans="1:21" ht="15.75" thickBot="1" x14ac:dyDescent="0.3">
      <c r="A4" s="11" t="s">
        <v>2</v>
      </c>
      <c r="B4" s="5">
        <v>4.2699999999999996</v>
      </c>
      <c r="C4" s="5">
        <v>0.87</v>
      </c>
      <c r="D4" s="5">
        <v>1</v>
      </c>
      <c r="E4" s="5">
        <v>17446</v>
      </c>
      <c r="F4" s="5">
        <v>70</v>
      </c>
      <c r="G4" s="18">
        <v>4269</v>
      </c>
      <c r="I4" s="15">
        <f>G4/I2</f>
        <v>1.1934658555729984</v>
      </c>
      <c r="K4" s="1" t="s">
        <v>2</v>
      </c>
      <c r="L4" s="13">
        <f>B4+B22+B37</f>
        <v>28.096999999999998</v>
      </c>
      <c r="M4" s="13">
        <f t="shared" ref="M4" si="6">C4+C22</f>
        <v>2.14</v>
      </c>
      <c r="N4" s="13">
        <f>D4+D22+D37</f>
        <v>3</v>
      </c>
      <c r="O4" s="13">
        <f>G4+G22+G37</f>
        <v>22950</v>
      </c>
      <c r="P4" s="13">
        <f>F4+F22+F37</f>
        <v>221</v>
      </c>
      <c r="Q4" s="14">
        <f t="shared" si="5"/>
        <v>1.4299768380090764E-2</v>
      </c>
      <c r="S4" s="15">
        <f>P4*41.5*60</f>
        <v>550290</v>
      </c>
      <c r="T4" s="16">
        <f>O4*144</f>
        <v>3304800</v>
      </c>
    </row>
    <row r="5" spans="1:21" ht="15.75" thickBot="1" x14ac:dyDescent="0.3">
      <c r="A5" s="11" t="s">
        <v>3</v>
      </c>
      <c r="B5" s="5">
        <v>140.00200000000001</v>
      </c>
      <c r="C5" s="5">
        <v>28.37</v>
      </c>
      <c r="D5" s="5">
        <v>41</v>
      </c>
      <c r="E5" s="5">
        <v>0</v>
      </c>
      <c r="F5" s="5">
        <v>0</v>
      </c>
      <c r="K5" s="1" t="s">
        <v>3</v>
      </c>
      <c r="L5" s="13">
        <f>B5+B14+B23+B31</f>
        <v>482.274</v>
      </c>
      <c r="M5" s="13">
        <f t="shared" ref="M5:P5" si="7">C5+C14+C23+C31</f>
        <v>102.72999999999999</v>
      </c>
      <c r="N5" s="13">
        <f t="shared" si="7"/>
        <v>98</v>
      </c>
      <c r="O5" s="13">
        <f t="shared" si="7"/>
        <v>0</v>
      </c>
      <c r="P5" s="13">
        <f t="shared" si="7"/>
        <v>0</v>
      </c>
      <c r="Q5" s="14">
        <f t="shared" si="5"/>
        <v>0.24544992332775362</v>
      </c>
    </row>
    <row r="6" spans="1:21" ht="15.75" thickBot="1" x14ac:dyDescent="0.3">
      <c r="A6" s="11" t="s">
        <v>4</v>
      </c>
      <c r="B6" s="5">
        <v>146.614</v>
      </c>
      <c r="C6" s="5">
        <v>29.71</v>
      </c>
      <c r="D6" s="5">
        <v>42</v>
      </c>
      <c r="E6" s="5">
        <v>0</v>
      </c>
      <c r="F6" s="5">
        <v>0</v>
      </c>
      <c r="K6" s="1" t="s">
        <v>4</v>
      </c>
      <c r="L6" s="13">
        <f t="shared" ref="L6:L8" si="8">B6+B15+B24+B32</f>
        <v>497.45099999999996</v>
      </c>
      <c r="M6" s="13">
        <f t="shared" ref="M6:M8" si="9">C6+C15+C24+C32</f>
        <v>94.62</v>
      </c>
      <c r="N6" s="13">
        <f t="shared" ref="N6:N8" si="10">D6+D15+D24+D32</f>
        <v>110</v>
      </c>
      <c r="O6" s="13">
        <f t="shared" ref="O6:O8" si="11">E6+E15+E24+E32</f>
        <v>0</v>
      </c>
      <c r="P6" s="13">
        <f t="shared" ref="P6:P8" si="12">F6+F15+F24+F32</f>
        <v>0</v>
      </c>
      <c r="Q6" s="14">
        <f t="shared" si="5"/>
        <v>0.25317414956915441</v>
      </c>
    </row>
    <row r="7" spans="1:21" ht="15.75" thickBot="1" x14ac:dyDescent="0.3">
      <c r="A7" s="11" t="s">
        <v>5</v>
      </c>
      <c r="B7" s="5">
        <v>2.9369999999999998</v>
      </c>
      <c r="C7" s="5">
        <v>0.6</v>
      </c>
      <c r="D7" s="5">
        <v>7</v>
      </c>
      <c r="E7" s="5">
        <v>0</v>
      </c>
      <c r="F7" s="5">
        <v>0</v>
      </c>
      <c r="K7" s="1" t="s">
        <v>5</v>
      </c>
      <c r="L7" s="13">
        <f t="shared" si="8"/>
        <v>13.085999999999999</v>
      </c>
      <c r="M7" s="13">
        <f t="shared" si="9"/>
        <v>2.4600000000000004</v>
      </c>
      <c r="N7" s="13">
        <f t="shared" si="10"/>
        <v>41</v>
      </c>
      <c r="O7" s="13">
        <f t="shared" si="11"/>
        <v>0</v>
      </c>
      <c r="P7" s="13">
        <f t="shared" si="12"/>
        <v>0</v>
      </c>
      <c r="Q7" s="14">
        <f t="shared" si="5"/>
        <v>6.6600266584285767E-3</v>
      </c>
    </row>
    <row r="8" spans="1:21" ht="15.75" thickBot="1" x14ac:dyDescent="0.3">
      <c r="A8" s="4" t="s">
        <v>6</v>
      </c>
      <c r="B8" s="6">
        <v>493.51400000000001</v>
      </c>
      <c r="C8" s="6">
        <v>100</v>
      </c>
      <c r="D8" s="6">
        <v>265</v>
      </c>
      <c r="E8" s="6">
        <v>257757</v>
      </c>
      <c r="F8" s="6">
        <v>1006</v>
      </c>
      <c r="K8" s="3" t="s">
        <v>6</v>
      </c>
      <c r="L8" s="13">
        <f t="shared" si="8"/>
        <v>1964.857</v>
      </c>
      <c r="M8" s="13">
        <f t="shared" si="9"/>
        <v>400</v>
      </c>
      <c r="N8" s="13">
        <f t="shared" si="10"/>
        <v>975</v>
      </c>
      <c r="O8" s="13">
        <f t="shared" si="11"/>
        <v>1299390</v>
      </c>
      <c r="P8" s="13">
        <f t="shared" si="12"/>
        <v>6556</v>
      </c>
    </row>
    <row r="9" spans="1:21" x14ac:dyDescent="0.25">
      <c r="R9" t="s">
        <v>50</v>
      </c>
      <c r="S9" s="16">
        <f>T4+S2+S4</f>
        <v>56395459.5</v>
      </c>
    </row>
    <row r="10" spans="1:21" x14ac:dyDescent="0.25">
      <c r="R10" t="s">
        <v>51</v>
      </c>
      <c r="S10" s="16">
        <f>S9*T10</f>
        <v>56395459.5</v>
      </c>
      <c r="T10" s="26">
        <v>1</v>
      </c>
    </row>
    <row r="11" spans="1:21" ht="24" x14ac:dyDescent="0.25">
      <c r="A11" s="10" t="s">
        <v>7</v>
      </c>
      <c r="B11" s="8" t="s">
        <v>8</v>
      </c>
      <c r="C11" s="8" t="s">
        <v>9</v>
      </c>
      <c r="D11" s="8" t="s">
        <v>10</v>
      </c>
      <c r="E11" s="8" t="s">
        <v>11</v>
      </c>
      <c r="F11" s="8" t="s">
        <v>12</v>
      </c>
      <c r="G11" s="9" t="s">
        <v>14</v>
      </c>
      <c r="H11" s="8" t="s">
        <v>17</v>
      </c>
      <c r="T11">
        <f>41.5*T10</f>
        <v>41.5</v>
      </c>
    </row>
    <row r="12" spans="1:21" ht="15.75" thickBot="1" x14ac:dyDescent="0.3">
      <c r="A12" s="11" t="s">
        <v>0</v>
      </c>
      <c r="B12" s="2">
        <v>259.33999999999997</v>
      </c>
      <c r="C12" s="2">
        <v>38.880000000000003</v>
      </c>
      <c r="D12" s="2">
        <v>188</v>
      </c>
      <c r="E12" s="2">
        <v>524383</v>
      </c>
      <c r="F12" s="2">
        <v>2609</v>
      </c>
    </row>
    <row r="13" spans="1:21" ht="15.75" thickBot="1" x14ac:dyDescent="0.3">
      <c r="A13" s="11" t="s">
        <v>1</v>
      </c>
      <c r="B13" s="2">
        <v>86.450999999999993</v>
      </c>
      <c r="C13" s="2">
        <v>12.96</v>
      </c>
      <c r="D13" s="2">
        <v>17</v>
      </c>
      <c r="E13" s="2">
        <v>0</v>
      </c>
      <c r="F13" s="2">
        <v>0</v>
      </c>
      <c r="O13" s="15">
        <f>O4/24500</f>
        <v>0.93673469387755104</v>
      </c>
      <c r="R13" t="s">
        <v>52</v>
      </c>
      <c r="S13" s="13">
        <f>3928*24500</f>
        <v>96236000</v>
      </c>
    </row>
    <row r="14" spans="1:21" ht="15.75" thickBot="1" x14ac:dyDescent="0.3">
      <c r="A14" s="11" t="s">
        <v>3</v>
      </c>
      <c r="B14" s="2">
        <v>159.536</v>
      </c>
      <c r="C14" s="2">
        <v>23.92</v>
      </c>
      <c r="D14" s="2">
        <v>23</v>
      </c>
      <c r="E14" s="2">
        <v>0</v>
      </c>
      <c r="F14" s="2">
        <v>0</v>
      </c>
      <c r="R14" t="s">
        <v>53</v>
      </c>
      <c r="S14" s="16">
        <f>S13-S10</f>
        <v>39840540.5</v>
      </c>
    </row>
    <row r="15" spans="1:21" ht="15.75" thickBot="1" x14ac:dyDescent="0.3">
      <c r="A15" s="11" t="s">
        <v>4</v>
      </c>
      <c r="B15" s="2">
        <v>160.49799999999999</v>
      </c>
      <c r="C15" s="2">
        <v>24.06</v>
      </c>
      <c r="D15" s="2">
        <v>20</v>
      </c>
      <c r="E15" s="2">
        <v>0</v>
      </c>
      <c r="F15" s="2">
        <v>0</v>
      </c>
      <c r="R15" t="s">
        <v>55</v>
      </c>
      <c r="S15" s="15">
        <f>S14/144</f>
        <v>276670.42013888888</v>
      </c>
    </row>
    <row r="16" spans="1:21" ht="15.75" thickBot="1" x14ac:dyDescent="0.3">
      <c r="A16" s="11" t="s">
        <v>5</v>
      </c>
      <c r="B16" s="2">
        <v>1.196</v>
      </c>
      <c r="C16" s="2">
        <v>0.18</v>
      </c>
      <c r="D16" s="2">
        <v>17</v>
      </c>
      <c r="E16" s="2">
        <v>0</v>
      </c>
      <c r="F16" s="2">
        <v>0</v>
      </c>
      <c r="R16" s="27" t="s">
        <v>54</v>
      </c>
      <c r="S16" s="15">
        <f>S14/97</f>
        <v>410727.22164948453</v>
      </c>
    </row>
    <row r="17" spans="1:19" ht="15.75" thickBot="1" x14ac:dyDescent="0.3">
      <c r="A17" s="4" t="s">
        <v>6</v>
      </c>
      <c r="B17" s="4">
        <v>667.02099999999996</v>
      </c>
      <c r="C17" s="4">
        <v>100</v>
      </c>
      <c r="D17" s="4">
        <v>265</v>
      </c>
      <c r="E17" s="4">
        <v>524383</v>
      </c>
      <c r="F17" s="4">
        <v>2609</v>
      </c>
    </row>
    <row r="18" spans="1:19" x14ac:dyDescent="0.25">
      <c r="P18" s="16">
        <f>P8*20</f>
        <v>131120</v>
      </c>
    </row>
    <row r="19" spans="1:19" ht="24" x14ac:dyDescent="0.25">
      <c r="A19" s="10" t="s">
        <v>7</v>
      </c>
      <c r="B19" s="8" t="s">
        <v>8</v>
      </c>
      <c r="C19" s="8" t="s">
        <v>9</v>
      </c>
      <c r="D19" s="8" t="s">
        <v>10</v>
      </c>
      <c r="E19" s="8" t="s">
        <v>11</v>
      </c>
      <c r="F19" s="8" t="s">
        <v>12</v>
      </c>
      <c r="G19" s="9" t="s">
        <v>15</v>
      </c>
      <c r="H19" s="8" t="s">
        <v>19</v>
      </c>
    </row>
    <row r="20" spans="1:19" ht="15.75" thickBot="1" x14ac:dyDescent="0.3">
      <c r="A20" s="11" t="s">
        <v>0</v>
      </c>
      <c r="B20" s="2">
        <v>226.02199999999999</v>
      </c>
      <c r="C20" s="2">
        <v>39.799999999999997</v>
      </c>
      <c r="D20" s="2">
        <v>194</v>
      </c>
      <c r="E20" s="2">
        <v>282219</v>
      </c>
      <c r="F20" s="2">
        <v>1633</v>
      </c>
      <c r="I20" s="15">
        <f>F20*$R$2</f>
        <v>6240.6020901575421</v>
      </c>
      <c r="M20" s="27" t="s">
        <v>56</v>
      </c>
      <c r="N20">
        <v>3230</v>
      </c>
    </row>
    <row r="21" spans="1:19" ht="15.75" thickBot="1" x14ac:dyDescent="0.3">
      <c r="A21" s="11" t="s">
        <v>1</v>
      </c>
      <c r="B21" s="2">
        <v>56.762999999999998</v>
      </c>
      <c r="C21" s="2">
        <v>9.99</v>
      </c>
      <c r="D21" s="2">
        <v>6</v>
      </c>
      <c r="E21" s="2">
        <v>0</v>
      </c>
      <c r="F21" s="2">
        <v>0</v>
      </c>
      <c r="M21" t="s">
        <v>57</v>
      </c>
      <c r="N21">
        <v>4513</v>
      </c>
    </row>
    <row r="22" spans="1:19" ht="15.75" thickBot="1" x14ac:dyDescent="0.3">
      <c r="A22" s="11" t="s">
        <v>2</v>
      </c>
      <c r="B22" s="2">
        <v>7.2089999999999996</v>
      </c>
      <c r="C22" s="2">
        <v>1.27</v>
      </c>
      <c r="D22" s="2">
        <v>1</v>
      </c>
      <c r="E22" s="2">
        <v>15911</v>
      </c>
      <c r="F22" s="2">
        <v>75</v>
      </c>
      <c r="G22" s="17">
        <v>2736</v>
      </c>
      <c r="I22" s="15">
        <f>(G22+G37)/I20</f>
        <v>2.9934611645025431</v>
      </c>
      <c r="M22" s="27" t="s">
        <v>58</v>
      </c>
      <c r="N22">
        <f>N20*3.8</f>
        <v>12274</v>
      </c>
    </row>
    <row r="23" spans="1:19" ht="15.75" thickBot="1" x14ac:dyDescent="0.3">
      <c r="A23" s="11" t="s">
        <v>3</v>
      </c>
      <c r="B23" s="2">
        <v>108.76600000000001</v>
      </c>
      <c r="C23" s="2">
        <v>19.149999999999999</v>
      </c>
      <c r="D23" s="2">
        <v>32</v>
      </c>
      <c r="E23" s="2">
        <v>0</v>
      </c>
      <c r="F23" s="2">
        <v>0</v>
      </c>
      <c r="M23" s="27" t="s">
        <v>59</v>
      </c>
      <c r="N23">
        <f>N21*3.8</f>
        <v>17149.399999999998</v>
      </c>
      <c r="Q23" t="s">
        <v>65</v>
      </c>
      <c r="R23" s="13">
        <f>N26*12</f>
        <v>17048.431506405224</v>
      </c>
    </row>
    <row r="24" spans="1:19" ht="15.75" thickBot="1" x14ac:dyDescent="0.3">
      <c r="A24" s="11" t="s">
        <v>4</v>
      </c>
      <c r="B24" s="2">
        <v>160.65600000000001</v>
      </c>
      <c r="C24" s="2">
        <v>28.29</v>
      </c>
      <c r="D24" s="2">
        <v>33</v>
      </c>
      <c r="E24" s="2">
        <v>0</v>
      </c>
      <c r="F24" s="2">
        <v>0</v>
      </c>
      <c r="M24" s="27" t="s">
        <v>60</v>
      </c>
      <c r="N24">
        <f>N23*29%</f>
        <v>4973.3259999999991</v>
      </c>
      <c r="R24" s="13">
        <f>R23</f>
        <v>17048.431506405224</v>
      </c>
    </row>
    <row r="25" spans="1:19" ht="15.75" thickBot="1" x14ac:dyDescent="0.3">
      <c r="A25" s="11" t="s">
        <v>5</v>
      </c>
      <c r="B25" s="2">
        <v>8.52</v>
      </c>
      <c r="C25" s="2">
        <v>1.5</v>
      </c>
      <c r="D25" s="2">
        <v>13</v>
      </c>
      <c r="E25" s="2">
        <v>0</v>
      </c>
      <c r="F25" s="2">
        <v>0</v>
      </c>
      <c r="M25" t="s">
        <v>61</v>
      </c>
      <c r="N25" s="15">
        <f>N24*P8</f>
        <v>32605125.255999994</v>
      </c>
      <c r="Q25" t="s">
        <v>66</v>
      </c>
      <c r="R25" s="13">
        <f>R24*O4</f>
        <v>391261503.07199991</v>
      </c>
    </row>
    <row r="26" spans="1:19" ht="15.75" thickBot="1" x14ac:dyDescent="0.3">
      <c r="A26" s="4" t="s">
        <v>6</v>
      </c>
      <c r="B26" s="4">
        <v>567.93600000000004</v>
      </c>
      <c r="C26" s="4">
        <v>100</v>
      </c>
      <c r="D26" s="4">
        <v>279</v>
      </c>
      <c r="E26" s="4">
        <v>298130</v>
      </c>
      <c r="F26" s="4">
        <v>1708</v>
      </c>
      <c r="M26" t="s">
        <v>62</v>
      </c>
      <c r="N26">
        <f>N25/O4</f>
        <v>1420.7026255337687</v>
      </c>
      <c r="Q26" t="s">
        <v>67</v>
      </c>
      <c r="R26" s="13">
        <f>N28*O4*0.55/0.4</f>
        <v>142003125</v>
      </c>
    </row>
    <row r="28" spans="1:19" ht="48" x14ac:dyDescent="0.25">
      <c r="A28" s="10" t="s">
        <v>7</v>
      </c>
      <c r="B28" s="8" t="s">
        <v>8</v>
      </c>
      <c r="C28" s="8" t="s">
        <v>9</v>
      </c>
      <c r="D28" s="8" t="s">
        <v>10</v>
      </c>
      <c r="E28" s="8" t="s">
        <v>11</v>
      </c>
      <c r="F28" s="8" t="s">
        <v>12</v>
      </c>
      <c r="G28" s="9" t="s">
        <v>16</v>
      </c>
      <c r="H28" s="8" t="s">
        <v>20</v>
      </c>
      <c r="M28" t="s">
        <v>63</v>
      </c>
      <c r="N28">
        <v>4500</v>
      </c>
      <c r="Q28" t="s">
        <v>68</v>
      </c>
      <c r="R28">
        <f>0.55/0.4</f>
        <v>1.375</v>
      </c>
    </row>
    <row r="29" spans="1:19" ht="15.75" thickBot="1" x14ac:dyDescent="0.3">
      <c r="A29" s="11" t="s">
        <v>0</v>
      </c>
      <c r="B29" s="2">
        <v>114.117</v>
      </c>
      <c r="C29" s="2">
        <v>48.28</v>
      </c>
      <c r="D29" s="2">
        <v>138</v>
      </c>
      <c r="E29" s="2">
        <v>219120</v>
      </c>
      <c r="F29" s="2">
        <v>1233</v>
      </c>
      <c r="Q29" t="s">
        <v>69</v>
      </c>
      <c r="R29" s="16">
        <f>R26+N30</f>
        <v>284293125</v>
      </c>
    </row>
    <row r="30" spans="1:19" ht="15.75" thickBot="1" x14ac:dyDescent="0.3">
      <c r="A30" s="11" t="s">
        <v>1</v>
      </c>
      <c r="B30" s="2">
        <v>18.183</v>
      </c>
      <c r="C30" s="2">
        <v>7.69</v>
      </c>
      <c r="D30" s="2">
        <v>7</v>
      </c>
      <c r="E30" s="2">
        <v>0</v>
      </c>
      <c r="F30" s="2">
        <v>0</v>
      </c>
      <c r="M30" t="s">
        <v>64</v>
      </c>
      <c r="N30" s="16">
        <f>6200*O4</f>
        <v>142290000</v>
      </c>
      <c r="Q30" t="s">
        <v>70</v>
      </c>
      <c r="R30" s="16">
        <f>R25*60%</f>
        <v>234756901.84319994</v>
      </c>
    </row>
    <row r="31" spans="1:19" ht="15.75" thickBot="1" x14ac:dyDescent="0.3">
      <c r="A31" s="11" t="s">
        <v>3</v>
      </c>
      <c r="B31" s="2">
        <v>73.97</v>
      </c>
      <c r="C31" s="2">
        <v>31.29</v>
      </c>
      <c r="D31" s="2">
        <v>2</v>
      </c>
      <c r="E31" s="2">
        <v>0</v>
      </c>
      <c r="F31" s="2">
        <v>0</v>
      </c>
      <c r="Q31" t="s">
        <v>71</v>
      </c>
      <c r="R31" s="26">
        <v>0.1</v>
      </c>
    </row>
    <row r="32" spans="1:19" ht="15.75" thickBot="1" x14ac:dyDescent="0.3">
      <c r="A32" s="11" t="s">
        <v>4</v>
      </c>
      <c r="B32" s="2">
        <v>29.683</v>
      </c>
      <c r="C32" s="2">
        <v>12.56</v>
      </c>
      <c r="D32" s="2">
        <v>15</v>
      </c>
      <c r="E32" s="2">
        <v>0</v>
      </c>
      <c r="F32" s="2">
        <v>0</v>
      </c>
      <c r="Q32" t="s">
        <v>72</v>
      </c>
      <c r="R32" s="16">
        <f>R31*R30</f>
        <v>23475690.184319995</v>
      </c>
      <c r="S32">
        <f>R32/O4/12</f>
        <v>85.242157532026127</v>
      </c>
    </row>
    <row r="33" spans="1:18" ht="15.75" thickBot="1" x14ac:dyDescent="0.3">
      <c r="A33" s="11" t="s">
        <v>5</v>
      </c>
      <c r="B33" s="2">
        <v>0.433</v>
      </c>
      <c r="C33" s="2">
        <v>0.18</v>
      </c>
      <c r="D33" s="2">
        <v>4</v>
      </c>
      <c r="E33" s="2">
        <v>0</v>
      </c>
      <c r="F33" s="2">
        <v>0</v>
      </c>
      <c r="Q33" t="s">
        <v>73</v>
      </c>
      <c r="R33" s="16">
        <f>R32/0.07</f>
        <v>335367002.63314277</v>
      </c>
    </row>
    <row r="34" spans="1:18" ht="15.75" thickBot="1" x14ac:dyDescent="0.3">
      <c r="A34" s="4" t="s">
        <v>6</v>
      </c>
      <c r="B34" s="4">
        <v>236.386</v>
      </c>
      <c r="C34" s="4">
        <v>100</v>
      </c>
      <c r="D34" s="4">
        <v>166</v>
      </c>
      <c r="E34" s="4">
        <v>219120</v>
      </c>
      <c r="F34" s="4">
        <v>1233</v>
      </c>
      <c r="Q34" t="s">
        <v>74</v>
      </c>
      <c r="R34" s="37">
        <f>R33/R29-1</f>
        <v>0.17965217285202639</v>
      </c>
    </row>
    <row r="36" spans="1:18" ht="48" x14ac:dyDescent="0.25">
      <c r="A36" s="8" t="s">
        <v>7</v>
      </c>
      <c r="B36" s="8" t="s">
        <v>8</v>
      </c>
      <c r="C36" s="8" t="s">
        <v>9</v>
      </c>
      <c r="D36" s="8" t="s">
        <v>10</v>
      </c>
      <c r="E36" s="8" t="s">
        <v>11</v>
      </c>
      <c r="F36" s="8" t="s">
        <v>12</v>
      </c>
      <c r="G36" s="9" t="s">
        <v>23</v>
      </c>
      <c r="H36" s="8" t="s">
        <v>22</v>
      </c>
    </row>
    <row r="37" spans="1:18" ht="15.75" thickBot="1" x14ac:dyDescent="0.3">
      <c r="A37" s="1" t="s">
        <v>21</v>
      </c>
      <c r="B37" s="2">
        <v>16.617999999999999</v>
      </c>
      <c r="C37" s="2">
        <v>92.49</v>
      </c>
      <c r="D37" s="2">
        <v>1</v>
      </c>
      <c r="F37" s="7">
        <v>76</v>
      </c>
      <c r="G37" s="7">
        <f>6625+9320</f>
        <v>15945</v>
      </c>
    </row>
    <row r="38" spans="1:18" ht="15.75" thickBot="1" x14ac:dyDescent="0.3">
      <c r="A38" s="1" t="s">
        <v>3</v>
      </c>
      <c r="B38" s="2">
        <v>1.35</v>
      </c>
      <c r="C38" s="2">
        <v>7.51</v>
      </c>
      <c r="D38" s="2">
        <v>1</v>
      </c>
    </row>
    <row r="39" spans="1:18" ht="15.75" thickBot="1" x14ac:dyDescent="0.3">
      <c r="A39" s="3" t="s">
        <v>6</v>
      </c>
      <c r="B39" s="4">
        <v>17.968</v>
      </c>
      <c r="C39" s="4">
        <v>100</v>
      </c>
      <c r="D39" s="4">
        <v>2</v>
      </c>
    </row>
  </sheetData>
  <hyperlinks>
    <hyperlink ref="A2" r:id="rId1" display="javascript:openMigrashimPage('migrashim.aspx?msHasava=1012089&amp;kvutza=01','%ee%e2%e5%f8%e9%ed','2%2f140%2f02%2f9',167)" xr:uid="{023A92A1-9DE4-4F0E-9240-DA8EE452E514}"/>
    <hyperlink ref="A3" r:id="rId2" display="javascript:openMigrashimPage('migrashim.aspx?msHasava=1012089&amp;kvutza=05','%ee%e5%f1%e3%e5%fa+%f6%e9%e1%e5%f8%e9%e9%ed','2%2f140%2f02%2f9',7)" xr:uid="{DFCC14FF-EA02-438C-A880-A7A6AD7E2314}"/>
    <hyperlink ref="A4" r:id="rId3" display="javascript:openMigrashimPage('migrashim.aspx?msHasava=1012089&amp;kvutza=03','%ee%f1%e7%f8+%e5%ee%f9%f8%e3%e9%ed','2%2f140%2f02%2f9',1)" xr:uid="{70EAA317-A6A9-4C11-B478-43A9EDCD40B7}"/>
    <hyperlink ref="A5" r:id="rId4" display="javascript:openMigrashimPage('migrashim.aspx?msHasava=1012089&amp;kvutza=08','%f9%e8%e7+%ec%e3%f8%eb%e9%ed','2%2f140%2f02%2f9',41)" xr:uid="{CF9FD9C2-AFFA-4627-B675-4FA84494A212}"/>
    <hyperlink ref="A6" r:id="rId5" display="javascript:openMigrashimPage('migrashim.aspx?msHasava=1012089&amp;kvutza=07','%f9%e8%e7%e9%ed+%f4%fa%e5%e7%e9%ed','2%2f140%2f02%2f9',42)" xr:uid="{6A134D5A-9710-46AB-8A6D-5F98547DD723}"/>
    <hyperlink ref="A7" r:id="rId6" display="javascript:openMigrashimPage('migrashim.aspx?msHasava=1012089&amp;kvutza=10,13','%e0%e7%f8','2%2f140%2f02%2f9',7)" xr:uid="{FF232E3E-9B96-4DD9-82CA-2E1BDE06178C}"/>
    <hyperlink ref="A12" r:id="rId7" display="javascript:openMigrashimPage('migrashim.aspx?msHasava=1012166&amp;kvutza=01','%ee%e2%e5%f8%e9%ed','3%2f140%2f03%2f9',188)" xr:uid="{86391257-207B-4C01-BC42-BCA868D87376}"/>
    <hyperlink ref="A13" r:id="rId8" display="javascript:openMigrashimPage('migrashim.aspx?msHasava=1012166&amp;kvutza=05','%ee%e5%f1%e3%e5%fa+%f6%e9%e1%e5%f8%e9%e9%ed','3%2f140%2f03%2f9',17)" xr:uid="{40FFB2C6-4500-404F-92D5-90AE9F9FB2EF}"/>
    <hyperlink ref="A14" r:id="rId9" display="javascript:openMigrashimPage('migrashim.aspx?msHasava=1012166&amp;kvutza=08','%f9%e8%e7+%ec%e3%f8%eb%e9%ed','3%2f140%2f03%2f9',23)" xr:uid="{EF7AE62C-A556-4355-A4D6-EB79323993A3}"/>
    <hyperlink ref="A15" r:id="rId10" display="javascript:openMigrashimPage('migrashim.aspx?msHasava=1012166&amp;kvutza=07','%f9%e8%e7%e9%ed+%f4%fa%e5%e7%e9%ed','3%2f140%2f03%2f9',20)" xr:uid="{81B5E0EB-2EDB-4B9B-AF33-3F52D3A244BF}"/>
    <hyperlink ref="A16" r:id="rId11" display="javascript:openMigrashimPage('migrashim.aspx?msHasava=1012166&amp;kvutza=10','%e0%e7%f8','3%2f140%2f03%2f9',17)" xr:uid="{9886DBD5-EFA4-4B72-94C2-3D737866C30C}"/>
    <hyperlink ref="A20" r:id="rId12" display="javascript:openMigrashimPage('migrashim.aspx?msHasava=1050603&amp;kvutza=01','%ee%e2%e5%f8%e9%ed','1%2f140%2f02%2f9',194)" xr:uid="{735958CD-91C8-4916-AFEA-B296A3EFDF52}"/>
    <hyperlink ref="A21" r:id="rId13" display="javascript:openMigrashimPage('migrashim.aspx?msHasava=1050603&amp;kvutza=05','%ee%e5%f1%e3%e5%fa+%f6%e9%e1%e5%f8%e9%e9%ed','1%2f140%2f02%2f9',6)" xr:uid="{989C957D-818C-44BA-98AA-C500C78AAD32}"/>
    <hyperlink ref="A22" r:id="rId14" display="javascript:openMigrashimPage('migrashim.aspx?msHasava=1050603&amp;kvutza=03','%ee%f1%e7%f8+%e5%ee%f9%f8%e3%e9%ed','1%2f140%2f02%2f9',1)" xr:uid="{796EE1D1-6736-498D-8CDC-80EA234DFD57}"/>
    <hyperlink ref="A23" r:id="rId15" display="javascript:openMigrashimPage('migrashim.aspx?msHasava=1050603&amp;kvutza=08','%f9%e8%e7+%ec%e3%f8%eb%e9%ed','1%2f140%2f02%2f9',32)" xr:uid="{28C3D5A6-5844-4849-8FF4-92BD29482D52}"/>
    <hyperlink ref="A24" r:id="rId16" display="javascript:openMigrashimPage('migrashim.aspx?msHasava=1050603&amp;kvutza=07','%f9%e8%e7%e9%ed+%f4%fa%e5%e7%e9%ed','1%2f140%2f02%2f9',33)" xr:uid="{BBD35DCF-C825-42A8-891C-F9DAE1B8484F}"/>
    <hyperlink ref="A25" r:id="rId17" display="javascript:openMigrashimPage('migrashim.aspx?msHasava=1050603&amp;kvutza=10,13','%e0%e7%f8','1%2f140%2f02%2f9',13)" xr:uid="{ED612DB1-3320-46D9-A9C3-63486FFA2900}"/>
    <hyperlink ref="A29" r:id="rId18" display="javascript:openMigrashimPage('migrashim.aspx?msHasava=1012183&amp;kvutza=01','%ee%e2%e5%f8%e9%ed','4%2f140%2f03%2f9',138)" xr:uid="{0232D8CF-AA1B-4516-80BF-6AC12EB4C64B}"/>
    <hyperlink ref="A30" r:id="rId19" display="javascript:openMigrashimPage('migrashim.aspx?msHasava=1012183&amp;kvutza=05','%ee%e5%f1%e3%e5%fa+%f6%e9%e1%e5%f8%e9%e9%ed','4%2f140%2f03%2f9',7)" xr:uid="{83E0B20C-8C08-4D0C-862A-0CE92B05DD27}"/>
    <hyperlink ref="A31" r:id="rId20" display="javascript:openMigrashimPage('migrashim.aspx?msHasava=1012183&amp;kvutza=08','%f9%e8%e7+%ec%e3%f8%eb%e9%ed','4%2f140%2f03%2f9',2)" xr:uid="{AF43FF9F-F9FF-4A64-B471-C05CEBEAA199}"/>
    <hyperlink ref="A32" r:id="rId21" display="javascript:openMigrashimPage('migrashim.aspx?msHasava=1012183&amp;kvutza=07','%f9%e8%e7%e9%ed+%f4%fa%e5%e7%e9%ed','4%2f140%2f03%2f9',15)" xr:uid="{E54F5B00-35D6-42E4-B5F1-4E0EEF1B2997}"/>
    <hyperlink ref="A33" r:id="rId22" display="javascript:openMigrashimPage('migrashim.aspx?msHasava=1012183&amp;kvutza=10','%e0%e7%f8','4%2f140%2f03%2f9',4)" xr:uid="{67E52E1D-C6DC-4846-B515-F18E65175D5C}"/>
    <hyperlink ref="K2" r:id="rId23" display="javascript:openMigrashimPage('migrashim.aspx?msHasava=1012089&amp;kvutza=01','%ee%e2%e5%f8%e9%ed','2%2f140%2f02%2f9',167)" xr:uid="{400CD3D3-D7FB-4E3D-AC73-784E850C1C04}"/>
    <hyperlink ref="K3" r:id="rId24" display="javascript:openMigrashimPage('migrashim.aspx?msHasava=1012089&amp;kvutza=05','%ee%e5%f1%e3%e5%fa+%f6%e9%e1%e5%f8%e9%e9%ed','2%2f140%2f02%2f9',7)" xr:uid="{9CF03F17-65C4-4072-901A-5FF33A51EBF9}"/>
    <hyperlink ref="K4" r:id="rId25" display="javascript:openMigrashimPage('migrashim.aspx?msHasava=1012089&amp;kvutza=03','%ee%f1%e7%f8+%e5%ee%f9%f8%e3%e9%ed','2%2f140%2f02%2f9',1)" xr:uid="{86B12E51-B959-4BEC-B9A9-7B188A52FCFA}"/>
    <hyperlink ref="K5" r:id="rId26" display="javascript:openMigrashimPage('migrashim.aspx?msHasava=1012089&amp;kvutza=08','%f9%e8%e7+%ec%e3%f8%eb%e9%ed','2%2f140%2f02%2f9',41)" xr:uid="{EC3B4A6C-EB82-414D-91D2-281EB388BFAB}"/>
    <hyperlink ref="K6" r:id="rId27" display="javascript:openMigrashimPage('migrashim.aspx?msHasava=1012089&amp;kvutza=07','%f9%e8%e7%e9%ed+%f4%fa%e5%e7%e9%ed','2%2f140%2f02%2f9',42)" xr:uid="{5696C4C6-4CB0-4051-AB60-163E654F4D53}"/>
    <hyperlink ref="K7" r:id="rId28" display="javascript:openMigrashimPage('migrashim.aspx?msHasava=1012089&amp;kvutza=10,13','%e0%e7%f8','2%2f140%2f02%2f9',7)" xr:uid="{A2D32A10-153F-49D0-8228-DF0F3ED0BE2F}"/>
    <hyperlink ref="A37" r:id="rId29" display="javascript:openMigrashimPage('migrashim.aspx?msHasava=1013954&amp;kvutza=27','%ee%f1%e7%f8%2c%ee%e2%e5%f8%e9%ed+%e5%ee%e5%f1%e3%e5','5%2f140%2f03%2f9',1)" xr:uid="{17CE9985-C0C5-40D2-83A4-FBE945627E02}"/>
    <hyperlink ref="A38" r:id="rId30" display="javascript:openMigrashimPage('migrashim.aspx?msHasava=1013954&amp;kvutza=08','%f9%e8%e7+%ec%e3%f8%eb%e9%ed','5%2f140%2f03%2f9',1)" xr:uid="{F46B98F7-84E3-4173-9581-79704D0C76F8}"/>
  </hyperlinks>
  <pageMargins left="0.7" right="0.7" top="0.75" bottom="0.75" header="0.3" footer="0.3"/>
  <pageSetup paperSize="9" orientation="portrait" horizontalDpi="0" verticalDpi="0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5FAE5-8CF6-4959-9B15-01E06C8C9C10}">
  <dimension ref="A1:K28"/>
  <sheetViews>
    <sheetView showGridLines="0" rightToLeft="1" workbookViewId="0">
      <selection activeCell="K22" sqref="K22"/>
    </sheetView>
  </sheetViews>
  <sheetFormatPr defaultRowHeight="15" x14ac:dyDescent="0.25"/>
  <cols>
    <col min="1" max="1" width="18" bestFit="1" customWidth="1"/>
    <col min="2" max="2" width="10.42578125" bestFit="1" customWidth="1"/>
    <col min="3" max="3" width="16.28515625" bestFit="1" customWidth="1"/>
    <col min="4" max="4" width="12.85546875" bestFit="1" customWidth="1"/>
    <col min="5" max="5" width="13.28515625" bestFit="1" customWidth="1"/>
    <col min="6" max="6" width="8" bestFit="1" customWidth="1"/>
    <col min="7" max="7" width="7.140625" bestFit="1" customWidth="1"/>
    <col min="8" max="8" width="7.5703125" bestFit="1" customWidth="1"/>
    <col min="9" max="9" width="6" bestFit="1" customWidth="1"/>
    <col min="10" max="10" width="5.42578125" bestFit="1" customWidth="1"/>
  </cols>
  <sheetData>
    <row r="1" spans="1:11" x14ac:dyDescent="0.25">
      <c r="A1" s="25" t="s">
        <v>46</v>
      </c>
    </row>
    <row r="3" spans="1:11" x14ac:dyDescent="0.25">
      <c r="A3" s="20" t="s">
        <v>45</v>
      </c>
    </row>
    <row r="5" spans="1:11" ht="15.75" thickBot="1" x14ac:dyDescent="0.3">
      <c r="A5" s="19" t="s">
        <v>44</v>
      </c>
    </row>
    <row r="6" spans="1:11" ht="15.75" thickBot="1" x14ac:dyDescent="0.3">
      <c r="A6" s="24" t="s">
        <v>43</v>
      </c>
      <c r="B6" s="24" t="s">
        <v>42</v>
      </c>
      <c r="C6" s="24" t="s">
        <v>41</v>
      </c>
      <c r="D6" s="24" t="s">
        <v>40</v>
      </c>
      <c r="E6" s="24" t="s">
        <v>39</v>
      </c>
      <c r="F6" s="24" t="s">
        <v>38</v>
      </c>
      <c r="G6" s="24" t="s">
        <v>37</v>
      </c>
      <c r="H6" s="24" t="s">
        <v>36</v>
      </c>
      <c r="I6" s="24" t="s">
        <v>35</v>
      </c>
      <c r="J6" s="24" t="s">
        <v>34</v>
      </c>
    </row>
    <row r="7" spans="1:11" ht="15.75" thickBot="1" x14ac:dyDescent="0.3">
      <c r="A7" s="21" t="s">
        <v>33</v>
      </c>
      <c r="B7" s="23">
        <v>42493</v>
      </c>
      <c r="C7" s="22">
        <v>17550000</v>
      </c>
      <c r="D7" s="22">
        <v>17550000</v>
      </c>
      <c r="E7" s="21" t="s">
        <v>32</v>
      </c>
      <c r="F7" s="21">
        <v>1</v>
      </c>
      <c r="G7" s="21" t="s">
        <v>29</v>
      </c>
      <c r="H7" s="21">
        <v>0</v>
      </c>
      <c r="I7" s="21">
        <v>0</v>
      </c>
      <c r="J7" s="21">
        <v>0</v>
      </c>
    </row>
    <row r="8" spans="1:11" ht="15.75" thickBot="1" x14ac:dyDescent="0.3">
      <c r="A8" s="21" t="s">
        <v>31</v>
      </c>
      <c r="B8" s="23">
        <v>42764</v>
      </c>
      <c r="C8" s="22">
        <v>26500000</v>
      </c>
      <c r="D8" s="22">
        <v>26500000</v>
      </c>
      <c r="E8" s="21" t="s">
        <v>30</v>
      </c>
      <c r="F8" s="21">
        <v>1</v>
      </c>
      <c r="G8" s="21" t="s">
        <v>29</v>
      </c>
      <c r="H8" s="21">
        <v>0</v>
      </c>
      <c r="I8" s="21">
        <v>4269</v>
      </c>
      <c r="J8" s="21">
        <v>0</v>
      </c>
      <c r="K8">
        <f>D8/I8</f>
        <v>6207.542750058562</v>
      </c>
    </row>
    <row r="10" spans="1:11" x14ac:dyDescent="0.25">
      <c r="A10" s="20" t="s">
        <v>28</v>
      </c>
    </row>
    <row r="11" spans="1:11" ht="25.5" customHeight="1" x14ac:dyDescent="0.25">
      <c r="A11" s="35" t="s">
        <v>27</v>
      </c>
      <c r="B11" s="36"/>
      <c r="C11" s="36"/>
      <c r="D11" s="36"/>
      <c r="E11" s="36"/>
      <c r="F11" s="36"/>
      <c r="G11" s="36"/>
      <c r="H11" s="36"/>
      <c r="I11" s="36"/>
      <c r="J11" s="36"/>
    </row>
    <row r="12" spans="1:11" x14ac:dyDescent="0.25">
      <c r="A12" s="19" t="s">
        <v>26</v>
      </c>
    </row>
    <row r="13" spans="1:11" x14ac:dyDescent="0.25">
      <c r="A13" s="19" t="s">
        <v>25</v>
      </c>
    </row>
    <row r="14" spans="1:11" x14ac:dyDescent="0.25">
      <c r="A14" s="19" t="s">
        <v>24</v>
      </c>
    </row>
    <row r="16" spans="1:11" x14ac:dyDescent="0.25">
      <c r="A16" s="28" t="s">
        <v>46</v>
      </c>
      <c r="B16" s="27"/>
      <c r="C16" s="27"/>
      <c r="D16" s="27"/>
      <c r="E16" s="27"/>
      <c r="F16" s="27"/>
      <c r="G16" s="27"/>
      <c r="H16" s="27"/>
      <c r="I16" s="27"/>
      <c r="J16" s="27"/>
    </row>
    <row r="18" spans="1:11" x14ac:dyDescent="0.25">
      <c r="A18" s="29" t="s">
        <v>47</v>
      </c>
      <c r="B18" s="27"/>
      <c r="C18" s="27"/>
      <c r="D18" s="27"/>
      <c r="E18" s="27"/>
      <c r="F18" s="27"/>
      <c r="G18" s="27"/>
      <c r="H18" s="27"/>
      <c r="I18" s="27"/>
      <c r="J18" s="27"/>
    </row>
    <row r="20" spans="1:11" ht="15.75" thickBot="1" x14ac:dyDescent="0.3">
      <c r="A20" s="30" t="s">
        <v>48</v>
      </c>
      <c r="B20" s="27"/>
      <c r="C20" s="27"/>
      <c r="D20" s="27"/>
      <c r="E20" s="27"/>
      <c r="F20" s="27"/>
      <c r="G20" s="27"/>
      <c r="H20" s="27"/>
      <c r="I20" s="27"/>
      <c r="J20" s="27"/>
    </row>
    <row r="21" spans="1:11" ht="15.75" thickBot="1" x14ac:dyDescent="0.3">
      <c r="A21" s="31" t="s">
        <v>43</v>
      </c>
      <c r="B21" s="31" t="s">
        <v>42</v>
      </c>
      <c r="C21" s="31" t="s">
        <v>41</v>
      </c>
      <c r="D21" s="31" t="s">
        <v>40</v>
      </c>
      <c r="E21" s="31" t="s">
        <v>39</v>
      </c>
      <c r="F21" s="31" t="s">
        <v>38</v>
      </c>
      <c r="G21" s="31" t="s">
        <v>37</v>
      </c>
      <c r="H21" s="31" t="s">
        <v>36</v>
      </c>
      <c r="I21" s="31" t="s">
        <v>35</v>
      </c>
      <c r="J21" s="31" t="s">
        <v>34</v>
      </c>
    </row>
    <row r="22" spans="1:11" ht="15.75" thickBot="1" x14ac:dyDescent="0.3">
      <c r="A22" s="32" t="s">
        <v>49</v>
      </c>
      <c r="B22" s="33">
        <v>43275</v>
      </c>
      <c r="C22" s="34">
        <v>50500500</v>
      </c>
      <c r="D22" s="34">
        <v>50500500</v>
      </c>
      <c r="E22" s="32" t="s">
        <v>0</v>
      </c>
      <c r="F22" s="32">
        <v>1</v>
      </c>
      <c r="G22" s="32" t="s">
        <v>29</v>
      </c>
      <c r="H22" s="32">
        <v>0</v>
      </c>
      <c r="I22" s="32">
        <v>16618</v>
      </c>
      <c r="J22" s="32">
        <v>0</v>
      </c>
      <c r="K22" s="27">
        <f>D22/I22</f>
        <v>3038.9035985076425</v>
      </c>
    </row>
    <row r="24" spans="1:11" x14ac:dyDescent="0.25">
      <c r="A24" s="29" t="s">
        <v>28</v>
      </c>
      <c r="B24" s="27"/>
      <c r="C24" s="27"/>
      <c r="D24" s="27"/>
      <c r="E24" s="27"/>
      <c r="F24" s="27"/>
      <c r="G24" s="27"/>
      <c r="H24" s="27"/>
      <c r="I24" s="27"/>
      <c r="J24" s="27"/>
    </row>
    <row r="25" spans="1:11" x14ac:dyDescent="0.25">
      <c r="A25" s="35" t="s">
        <v>27</v>
      </c>
      <c r="B25" s="36"/>
      <c r="C25" s="36"/>
      <c r="D25" s="36"/>
      <c r="E25" s="36"/>
      <c r="F25" s="36"/>
      <c r="G25" s="36"/>
      <c r="H25" s="36"/>
      <c r="I25" s="36"/>
      <c r="J25" s="36"/>
    </row>
    <row r="26" spans="1:11" x14ac:dyDescent="0.25">
      <c r="A26" s="30" t="s">
        <v>26</v>
      </c>
      <c r="B26" s="27"/>
      <c r="C26" s="27"/>
      <c r="D26" s="27"/>
      <c r="E26" s="27"/>
      <c r="F26" s="27"/>
      <c r="G26" s="27"/>
      <c r="H26" s="27"/>
      <c r="I26" s="27"/>
      <c r="J26" s="27"/>
    </row>
    <row r="27" spans="1:11" x14ac:dyDescent="0.25">
      <c r="A27" s="30" t="s">
        <v>25</v>
      </c>
      <c r="B27" s="27"/>
      <c r="C27" s="27"/>
      <c r="D27" s="27"/>
      <c r="E27" s="27"/>
      <c r="F27" s="27"/>
      <c r="G27" s="27"/>
      <c r="H27" s="27"/>
      <c r="I27" s="27"/>
      <c r="J27" s="27"/>
    </row>
    <row r="28" spans="1:11" x14ac:dyDescent="0.25">
      <c r="A28" s="30" t="s">
        <v>24</v>
      </c>
      <c r="B28" s="27"/>
      <c r="C28" s="27"/>
      <c r="D28" s="27"/>
      <c r="E28" s="27"/>
      <c r="F28" s="27"/>
      <c r="G28" s="27"/>
      <c r="H28" s="27"/>
      <c r="I28" s="27"/>
      <c r="J28" s="27"/>
    </row>
  </sheetData>
  <mergeCells count="2">
    <mergeCell ref="A11:J11"/>
    <mergeCell ref="A25:J2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גיליון1</vt:lpstr>
      <vt:lpstr>infoNadlan_27_09_2020_10_44_51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2020-09-27T05:52:15Z</dcterms:created>
  <dcterms:modified xsi:type="dcterms:W3CDTF">2020-09-27T20:25:30Z</dcterms:modified>
</cp:coreProperties>
</file>